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Equity QTD-3" sheetId="6" r:id="rId6"/>
    <sheet name="(9)Equity YTD4" sheetId="7" state="hidden" r:id="rId7"/>
    <sheet name="Equity YTD-4" sheetId="8" r:id="rId8"/>
    <sheet name="Earned Incurred QTD-5" sheetId="9" r:id="rId9"/>
    <sheet name="(8)Earned Incurred YTD6" sheetId="10" state="hidden" r:id="rId10"/>
    <sheet name="(7)Premiums YTD8" sheetId="11" state="hidden"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10">'(7)Premiums YTD8'!$A$1:$H$39</definedName>
    <definedName name="_xlnm.Print_Area" localSheetId="9">'(8)Earned Incurred YTD6'!$A$1:$D$54</definedName>
    <definedName name="_xlnm.Print_Area" localSheetId="6">'(9)Equity YTD4'!$A$1:$G$62</definedName>
    <definedName name="_xlnm.Print_Area" localSheetId="8">'Earned Incurred QTD-5'!$A$1:$D$54</definedName>
    <definedName name="_xlnm.Print_Area" localSheetId="11">'Earned Incurred YTD-6'!$A$1:$D$54</definedName>
    <definedName name="_xlnm.Print_Area" localSheetId="2">'EXPENSES (p11)'!$A$1:$T$76</definedName>
    <definedName name="_xlnm.Print_Area" localSheetId="21">'IBNR JE2'!$A$1:$E$25</definedName>
    <definedName name="_xlnm.Print_Area" localSheetId="4">'Income Statement-2'!$A$1:$E$35</definedName>
    <definedName name="_xlnm.Print_Area" localSheetId="16">'Loss Expenses QTD-11'!$A$1:$G$30</definedName>
    <definedName name="_xlnm.Print_Area" localSheetId="17">'Loss Expenses YTD-12'!$A$1:$G$30</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<sst xmlns="http://schemas.openxmlformats.org/spreadsheetml/2006/main" count="1130" uniqueCount="503">
  <si>
    <t xml:space="preserve">     CHANGE IN PENSION OBLIGATION</t>
  </si>
  <si>
    <t>3Q04</t>
  </si>
  <si>
    <t>2Q04</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</si>
  <si>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</si>
  <si>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</si>
  <si>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</si>
  <si>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</si>
  <si>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</si>
  <si>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</si>
  <si>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</si>
  <si>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</si>
  <si>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</si>
  <si>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</si>
  <si>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</si>
  <si>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</si>
  <si>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</si>
  <si>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</si>
  <si>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</si>
  <si>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</si>
  <si>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</si>
  <si>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</si>
  <si>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</si>
  <si>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</si>
  <si>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</si>
  <si>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</si>
  <si>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</si>
  <si>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</si>
  <si>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</si>
  <si>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</si>
  <si>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</si>
  <si>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</si>
  <si>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</si>
  <si>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</si>
  <si>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</si>
  <si>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</si>
  <si>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</si>
  <si>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</si>
  <si>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</si>
  <si>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</si>
  <si>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</si>
  <si>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</si>
  <si>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</si>
  <si>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</si>
  <si>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</si>
  <si>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</si>
  <si>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</si>
  <si>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</si>
  <si>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</si>
  <si>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</si>
  <si>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</si>
  <si>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</si>
  <si>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</si>
  <si>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</si>
  <si>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</si>
  <si>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</si>
  <si>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</si>
  <si>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</si>
  <si>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</si>
  <si>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</si>
  <si>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</si>
  <si>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</si>
  <si>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</si>
  <si>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</si>
  <si>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</si>
  <si>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</si>
  <si>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</si>
  <si>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</si>
  <si>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</si>
  <si>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</si>
  <si>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</si>
  <si>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</si>
  <si>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</si>
  <si>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</si>
  <si>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</si>
  <si>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</si>
  <si>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</si>
  <si>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</si>
  <si>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1Q04</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</si>
  <si>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</si>
  <si>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</si>
  <si>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</si>
  <si>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</si>
  <si>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</si>
  <si>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</si>
  <si>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</si>
  <si>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</si>
  <si>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</si>
  <si>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</si>
  <si>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</si>
  <si>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</si>
  <si>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</si>
  <si>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</si>
  <si>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</si>
  <si>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</si>
  <si>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</si>
  <si>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</si>
  <si>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</si>
  <si>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</si>
  <si>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</si>
  <si>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</si>
  <si>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</si>
  <si>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</si>
  <si>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</si>
  <si>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</si>
  <si>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</si>
  <si>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</si>
  <si>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</si>
  <si>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</si>
  <si>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</si>
  <si>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</si>
  <si>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</si>
  <si>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</si>
  <si>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</si>
  <si>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</si>
  <si>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</si>
  <si>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</si>
  <si>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</si>
  <si>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</si>
  <si>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</si>
  <si>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r>
      <t xml:space="preserve">                                                 </t>
    </r>
    <r>
      <rPr>
        <b/>
        <sz val="9"/>
        <rFont val="Century Schoolbook"/>
        <family val="1"/>
      </rPr>
      <t>1Q03</t>
    </r>
    <r>
      <rPr>
        <sz val="9"/>
        <rFont val="Century Schoolbook"/>
        <family val="1"/>
      </rPr>
      <t xml:space="preserve">                       478,783</t>
    </r>
  </si>
  <si>
    <r>
      <t xml:space="preserve">                                                 </t>
    </r>
    <r>
      <rPr>
        <b/>
        <sz val="9"/>
        <rFont val="Century Schoolbook"/>
        <family val="1"/>
      </rPr>
      <t>2Q03</t>
    </r>
    <r>
      <rPr>
        <sz val="9"/>
        <rFont val="Century Schoolbook"/>
        <family val="1"/>
      </rPr>
      <t xml:space="preserve">                      487,924</t>
    </r>
  </si>
  <si>
    <r>
      <t xml:space="preserve">                                                </t>
    </r>
    <r>
      <rPr>
        <b/>
        <sz val="9"/>
        <rFont val="Century Schoolbook"/>
        <family val="1"/>
      </rPr>
      <t>3Q03</t>
    </r>
    <r>
      <rPr>
        <sz val="9"/>
        <rFont val="Century Schoolbook"/>
        <family val="1"/>
      </rPr>
      <t xml:space="preserve">                       509,815</t>
    </r>
  </si>
  <si>
    <r>
      <t xml:space="preserve">                                                </t>
    </r>
    <r>
      <rPr>
        <b/>
        <sz val="9"/>
        <rFont val="Century Schoolbook"/>
        <family val="1"/>
      </rPr>
      <t>4Q03</t>
    </r>
    <r>
      <rPr>
        <sz val="9"/>
        <rFont val="Century Schoolbook"/>
        <family val="1"/>
      </rPr>
      <t xml:space="preserve">                       508,338</t>
    </r>
  </si>
  <si>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</si>
  <si>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</si>
  <si>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</si>
  <si>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</si>
  <si>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</si>
  <si>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</si>
  <si>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</si>
  <si>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</si>
  <si>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</si>
  <si>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</si>
  <si>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</si>
  <si>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</si>
  <si>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</si>
  <si>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</si>
  <si>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</si>
  <si>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</si>
  <si>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</si>
  <si>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</si>
  <si>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</si>
  <si>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</si>
  <si>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</si>
  <si>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</si>
  <si>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</si>
  <si>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</si>
  <si>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</si>
  <si>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</si>
  <si>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</si>
  <si>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</si>
  <si>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</si>
  <si>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</si>
  <si>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</si>
  <si>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</si>
  <si>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</si>
  <si>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</si>
  <si>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</si>
  <si>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</si>
  <si>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</si>
  <si>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</si>
  <si>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</si>
  <si>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</si>
  <si>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</si>
  <si>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</si>
  <si>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</si>
  <si>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</si>
  <si>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</si>
  <si>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</si>
  <si>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</si>
  <si>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</si>
  <si>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</si>
  <si>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</si>
  <si>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</si>
  <si>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</si>
  <si>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</si>
  <si>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</si>
  <si>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</si>
  <si>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</si>
  <si>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</si>
  <si>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</si>
  <si>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</si>
  <si>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</si>
  <si>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</si>
  <si>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</si>
  <si>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</si>
  <si>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</si>
  <si>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</si>
  <si>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</si>
  <si>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</si>
  <si>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</si>
  <si>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</si>
  <si>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</si>
  <si>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</si>
  <si>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</si>
  <si>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</si>
  <si>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</si>
  <si>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</si>
  <si>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</si>
  <si>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PRIOR LOSS RESERVES (12-31-03)</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</si>
  <si>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</si>
  <si>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</si>
  <si>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</si>
  <si>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</si>
  <si>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</si>
  <si>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</si>
  <si>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</si>
  <si>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</si>
  <si>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</si>
  <si>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</si>
  <si>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</si>
  <si>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</si>
  <si>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</si>
  <si>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</si>
  <si>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</si>
  <si>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</si>
  <si>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</si>
  <si>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POLICY YEAR 2000 &amp; PRIOR</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</si>
  <si>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</si>
  <si>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</si>
  <si>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</si>
  <si>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</si>
  <si>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</si>
  <si>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</si>
  <si>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</si>
  <si>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</si>
  <si>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</si>
  <si>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</si>
  <si>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</si>
  <si>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</si>
  <si>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</si>
  <si>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</si>
  <si>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</si>
  <si>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</si>
  <si>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</si>
  <si>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</si>
  <si>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</si>
  <si>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</si>
  <si>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</si>
  <si>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</si>
  <si>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</si>
  <si>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</si>
  <si>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</si>
  <si>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</si>
  <si>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</si>
  <si>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</si>
  <si>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</si>
  <si>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</si>
  <si>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</si>
  <si>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</si>
  <si>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</si>
  <si>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</si>
  <si>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</si>
  <si>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</si>
  <si>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</si>
  <si>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</si>
  <si>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</si>
  <si>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</si>
  <si>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</si>
  <si>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</si>
  <si>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</si>
  <si>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</si>
  <si>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</si>
  <si>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</si>
  <si>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</si>
  <si>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</si>
  <si>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</si>
  <si>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</si>
  <si>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</si>
  <si>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</si>
  <si>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</si>
  <si>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</si>
  <si>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</si>
  <si>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</si>
  <si>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</si>
  <si>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</si>
  <si>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</si>
  <si>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</si>
  <si>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</si>
  <si>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</si>
  <si>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</si>
  <si>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</si>
  <si>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</si>
  <si>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</si>
  <si>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</si>
  <si>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</si>
  <si>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</si>
  <si>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</si>
  <si>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</si>
  <si>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</si>
  <si>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</si>
  <si>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</si>
  <si>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</si>
  <si>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</si>
  <si>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</si>
  <si>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</si>
  <si>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</si>
  <si>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</si>
  <si>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</si>
  <si>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</si>
  <si>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</si>
  <si>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</si>
  <si>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</si>
  <si>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</si>
  <si>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</si>
  <si>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</si>
  <si>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</si>
  <si>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</si>
  <si>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</si>
  <si>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</si>
  <si>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</si>
  <si>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</si>
  <si>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</si>
  <si>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</si>
  <si>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</si>
  <si>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</si>
  <si>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</si>
  <si>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</si>
  <si>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</si>
  <si>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</si>
  <si>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</si>
  <si>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</si>
  <si>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</si>
  <si>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</si>
  <si>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</si>
  <si>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</si>
  <si>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</si>
  <si>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</si>
  <si>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</si>
  <si>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</si>
  <si>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</si>
  <si>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</si>
  <si>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</si>
  <si>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</si>
  <si>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</si>
  <si>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</si>
  <si>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</si>
  <si>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</si>
  <si>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</si>
  <si>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</si>
  <si>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</si>
  <si>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</si>
  <si>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</si>
  <si>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</si>
  <si>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</si>
  <si>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</si>
  <si>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</si>
  <si>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</si>
  <si>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</si>
  <si>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</si>
  <si>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</si>
  <si>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</si>
  <si>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</si>
  <si>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</si>
  <si>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</si>
  <si>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</si>
  <si>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</si>
  <si>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</si>
  <si>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</si>
  <si>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</si>
  <si>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</si>
  <si>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</si>
  <si>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</si>
  <si>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</si>
  <si>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</si>
  <si>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</si>
  <si>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</si>
  <si>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</si>
  <si>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</si>
  <si>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</si>
  <si>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</si>
  <si>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</si>
  <si>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</si>
  <si>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</si>
  <si>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</si>
  <si>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</si>
  <si>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</si>
  <si>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</si>
  <si>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</si>
  <si>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</si>
  <si>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</si>
  <si>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</si>
  <si>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</si>
  <si>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</si>
  <si>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</si>
  <si>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</si>
  <si>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</si>
  <si>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</si>
  <si>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</si>
  <si>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</si>
  <si>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</si>
  <si>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</si>
  <si>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</si>
  <si>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</si>
  <si>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</si>
  <si>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</si>
  <si>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</si>
  <si>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</si>
  <si>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</si>
  <si>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</si>
  <si>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</si>
  <si>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</si>
  <si>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</si>
  <si>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</si>
  <si>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</si>
  <si>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</si>
  <si>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</si>
  <si>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</si>
  <si>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</si>
  <si>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</si>
  <si>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</si>
  <si>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</si>
  <si>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</si>
  <si>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</si>
  <si>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</si>
  <si>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</si>
  <si>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</si>
  <si>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</si>
  <si>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</si>
  <si>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</si>
  <si>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</si>
  <si>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</si>
  <si>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</si>
  <si>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</si>
  <si>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</si>
  <si>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</si>
  <si>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</si>
  <si>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</si>
  <si>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</si>
  <si>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</si>
  <si>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</si>
  <si>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</si>
  <si>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</si>
  <si>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</si>
  <si>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</si>
  <si>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</si>
  <si>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</si>
  <si>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</si>
  <si>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</si>
  <si>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</si>
  <si>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</si>
  <si>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</si>
  <si>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</si>
  <si>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</si>
  <si>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</si>
  <si>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</si>
  <si>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</si>
  <si>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</si>
  <si>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</si>
  <si>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</si>
  <si>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</si>
  <si>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</si>
  <si>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</si>
  <si>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</si>
  <si>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</si>
  <si>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</si>
  <si>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</si>
  <si>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</si>
  <si>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</si>
  <si>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</si>
  <si>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</si>
  <si>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</si>
  <si>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</si>
  <si>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</si>
  <si>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</si>
  <si>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</si>
  <si>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</si>
  <si>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(Including IBNR Reserves)</t>
  </si>
  <si>
    <t>*Note: Beginning January 1, 2004, the Association engaged the services of a consulting actuary to provide IBNR and loss adjustment expense reserves.</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</si>
  <si>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</si>
  <si>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</si>
  <si>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</si>
  <si>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</si>
  <si>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</si>
  <si>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</si>
  <si>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</si>
  <si>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PRIOR UNEARNED PREMIUM RESERVE                     @ 12-31-03</t>
  </si>
  <si>
    <t>LOSS EXPENSES PAID                                     (ALAE AND ULAE)</t>
  </si>
  <si>
    <t>PRIOR LOSS  EXPENSE RESERVES                     @ 12-31-03</t>
  </si>
  <si>
    <t>LOSS EXPENSES PAID                                      (ALAE AND ULAE)</t>
  </si>
  <si>
    <t xml:space="preserve">     CASH &amp; CASH EQUIVALENTS</t>
  </si>
  <si>
    <t xml:space="preserve">     SHORT-TERM INVESTMENTS</t>
  </si>
  <si>
    <t>YTD PERIOD ENDING DECEMBER 31, 2004</t>
  </si>
  <si>
    <t>CURRENT LOSS EXPENSE RESERVES               @ 12-31-04</t>
  </si>
  <si>
    <t>QTD PERIOD ENDING DECEMBER 31, 2004</t>
  </si>
  <si>
    <t>CURRENT LOSS EXPENSE RESERVES                @ 12-31-04</t>
  </si>
  <si>
    <t>PRIOR LOSS  EXPENSE RESERVES                     @ 9-30-04</t>
  </si>
  <si>
    <t>CURRENT CASE BASIS RESERVES (12-31-04)</t>
  </si>
  <si>
    <t>CURRENT I.B.N.R. RESERVES (12-31-04)</t>
  </si>
  <si>
    <t>PRIOR LOSS RESERVES (9-30-04)</t>
  </si>
  <si>
    <t>CURRENT UNEARNED PREMIUM RESERVE              @ 12-31-04</t>
  </si>
  <si>
    <t>4Q04</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</si>
  <si>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</si>
  <si>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PRIOR UNEARNED PREMIUM RESERVE                     @ 9-30-04</t>
  </si>
  <si>
    <t>12-31-04</t>
  </si>
  <si>
    <t>YTD PERIOD ENDED DECEMBER 31, 2004</t>
  </si>
  <si>
    <t>QTD PERIOD ENDED DECEMBER 31, 2004</t>
  </si>
  <si>
    <t>AT DECEMBER 31, 2004</t>
  </si>
  <si>
    <t>NET EQUITY AT DECEMBER 31,  2004</t>
  </si>
  <si>
    <t xml:space="preserve">     NET EQUITY AT DECEMBER 31, 2004</t>
  </si>
  <si>
    <t xml:space="preserve">     DEFERRED CHARGES</t>
  </si>
  <si>
    <t xml:space="preserve">     PRIOR PENSION OBLIGATION</t>
  </si>
  <si>
    <t xml:space="preserve">     CURRENT PENSION OBLIGATION</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</si>
</sst>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quot;$&quot;#,##0.0_);\(&quot;$&quot;#,##0.0\)"/>
    <numFmt numFmtId="174" formatCode="_(* #,##0.0_);_(* \(#,##0.0\);_(* &quot;-&quot;??_);_(@_)"/>
    <numFmt numFmtId="175" formatCode="_(* #,##0.000_);_(* \(#,##0.000\);_(* &quot;-&quot;??_);_(@_)"/>
    <numFmt numFmtId="176" formatCode="_(* #,##0.0_);_(* \(#,##0.0\);_(* &quot;-&quot;_);_(@_)"/>
    <numFmt numFmtId="177" formatCode="0.00000%"/>
    <numFmt numFmtId="178" formatCode="0.0"/>
    <numFmt numFmtId="179" formatCode="_(&quot;$&quot;* #,##0.0_);_(&quot;$&quot;* \(#,##0.0\);_(&quot;$&quot;* &quot;-&quot;??_);_(@_)"/>
    <numFmt numFmtId="180" formatCode="0.0%"/>
    <numFmt numFmtId="181" formatCode="#,##0.000_);[Red]\(#,##0.000\)"/>
    <numFmt numFmtId="182" formatCode="#,##0.0000_);[Red]\(#,##0.0000\)"/>
    <numFmt numFmtId="183" formatCode="#,##0_);[Red]\(#,##0_)"/>
    <numFmt numFmtId="184" formatCode="_(* #,##0.0_);_(* \(#,##0.0\);_(* &quot;-&quot;?_);_(@_)"/>
    <numFmt numFmtId="185" formatCode="#,##0.0000000000_);\(#,##0.0000000000\)"/>
    <numFmt numFmtId="186" formatCode="_(* #,##0.00000_);_(* \(#,##0.00000\);_(* &quot;-&quot;_);_(@_)"/>
    <numFmt numFmtId="187" formatCode="#,##0.000000000_);[Red]\(#,##0.000000000\)"/>
    <numFmt numFmtId="188" formatCode="#,##0.0"/>
    <numFmt numFmtId="189" formatCode="_(* #,##0.0000_);_(* \(#,##0.0000\);_(* &quot;-&quot;??_);_(@_)"/>
    <numFmt numFmtId="190" formatCode="&quot;$&quot;#,##0.000_);[Red]\(&quot;$&quot;#,##0.000\)"/>
    <numFmt numFmtId="191" formatCode="&quot;$&quot;#,##0.0_);[Red]\(&quot;$&quot;#,##0.0\)"/>
    <numFmt numFmtId="192" formatCode="#,##0.0_);\(#,##0.0\)"/>
    <numFmt numFmtId="193" formatCode="&quot;$&quot;#,##0.0"/>
    <numFmt numFmtId="194" formatCode="yyyy"/>
    <numFmt numFmtId="195" formatCode="m/d"/>
    <numFmt numFmtId="196" formatCode="#,##0.00000000_);\(#,##0.00000000\)"/>
    <numFmt numFmtId="197" formatCode="#,##0.0000000_);\(#,##0.0000000\)"/>
    <numFmt numFmtId="198" formatCode="#,##0.000000_);\(#,##0.000000\)"/>
    <numFmt numFmtId="199" formatCode="#,##0.00000_);\(#,##0.00000\)"/>
    <numFmt numFmtId="200" formatCode="#,##0.0000_);\(#,##0.0000\)"/>
    <numFmt numFmtId="201" formatCode="#,##0.000_);\(#,##0.000\)"/>
    <numFmt numFmtId="202" formatCode="_(* #,##0.000_);_(* \(#,##0.000\);_(* &quot;-&quot;_);_(@_)"/>
    <numFmt numFmtId="203" formatCode="0.000"/>
    <numFmt numFmtId="204" formatCode="0.0000"/>
    <numFmt numFmtId="205" formatCode="0.00000"/>
    <numFmt numFmtId="206" formatCode="_(* #,##0.0000_);_(* \(#,##0.0000\);_(* &quot;-&quot;_);_(@_)"/>
    <numFmt numFmtId="207" formatCode="_(* #,##0.000000_);_(* \(#,##0.000000\);_(* &quot;-&quot;_);_(@_)"/>
    <numFmt numFmtId="208" formatCode="_(* #,##0.0000000_);_(* \(#,##0.0000000\);_(* &quot;-&quot;_);_(@_)"/>
    <numFmt numFmtId="209" formatCode="_(&quot;$&quot;* #,##0.000_);_(&quot;$&quot;* \(#,##0.000\);_(&quot;$&quot;* &quot;-&quot;??_);_(@_)"/>
    <numFmt numFmtId="210" formatCode="#,##0.000000000_);\(#,##0.000000000\)"/>
    <numFmt numFmtId="211" formatCode="0_);[Red]\(0\)"/>
    <numFmt numFmtId="212" formatCode="0.00_);[Red]\(0.00\)"/>
    <numFmt numFmtId="213" formatCode="#,##0.0000000000_);[Red]\(#,##0.0000000000\)"/>
    <numFmt numFmtId="214" formatCode="\(0%\)"/>
    <numFmt numFmtId="215" formatCode="\-\(0%\)"/>
    <numFmt numFmtId="216" formatCode="#,##0.000000000000_);\(#,##0.000000000000\)"/>
    <numFmt numFmtId="217" formatCode="0.0000000000%"/>
    <numFmt numFmtId="218" formatCode="mmm\-yyyy"/>
    <numFmt numFmtId="219" formatCode="#,##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1018">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5" fillId="0" borderId="0" xfId="0" applyNumberFormat="1" applyFont="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21" xfId="15" applyNumberFormat="1" applyFont="1" applyFill="1" applyBorder="1" applyAlignment="1" quotePrefix="1">
      <alignment horizontal="centerContinuous"/>
    </xf>
    <xf numFmtId="164" fontId="10" fillId="2" borderId="30" xfId="15" applyNumberFormat="1" applyFont="1" applyFill="1" applyBorder="1" applyAlignment="1" quotePrefix="1">
      <alignment horizontal="centerContinuous" wrapText="1"/>
    </xf>
    <xf numFmtId="164" fontId="14" fillId="2" borderId="14" xfId="15" applyNumberFormat="1" applyFont="1" applyFill="1" applyBorder="1" applyAlignment="1">
      <alignment horizontal="centerContinuous"/>
    </xf>
    <xf numFmtId="164" fontId="10" fillId="2" borderId="22" xfId="15" applyNumberFormat="1" applyFont="1" applyFill="1" applyBorder="1" applyAlignment="1">
      <alignment horizontal="centerContinuous"/>
    </xf>
    <xf numFmtId="164" fontId="10" fillId="2" borderId="4" xfId="15" applyNumberFormat="1" applyFont="1" applyFill="1" applyBorder="1" applyAlignment="1">
      <alignment horizontal="centerContinuous"/>
    </xf>
    <xf numFmtId="164" fontId="10" fillId="2" borderId="15"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0" fillId="0" borderId="14"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31" fillId="0" borderId="27" xfId="15" applyNumberFormat="1" applyFont="1" applyBorder="1" applyAlignment="1">
      <alignmen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46" fillId="0" borderId="0" xfId="15" applyNumberFormat="1" applyFont="1" applyFill="1" applyAlignment="1">
      <alignment horizontal="centerContinuous"/>
    </xf>
    <xf numFmtId="172" fontId="49" fillId="4" borderId="0" xfId="15" applyNumberFormat="1" applyFont="1" applyFill="1" applyBorder="1" applyAlignment="1" applyProtection="1">
      <alignment horizontal="centerContinuous"/>
      <protection locked="0"/>
    </xf>
    <xf numFmtId="172" fontId="50" fillId="0" borderId="0" xfId="15" applyNumberFormat="1" applyFont="1" applyAlignment="1">
      <alignment horizontal="centerContinuous"/>
    </xf>
    <xf numFmtId="172" fontId="5" fillId="0" borderId="0" xfId="15" applyNumberFormat="1" applyFont="1" applyAlignment="1">
      <alignment horizontal="centerContinuous"/>
    </xf>
    <xf numFmtId="172" fontId="10" fillId="0" borderId="0" xfId="15" applyNumberFormat="1" applyFont="1" applyFill="1" applyAlignment="1">
      <alignment horizontal="centerContinuous"/>
    </xf>
    <xf numFmtId="172" fontId="13" fillId="4" borderId="0" xfId="15" applyNumberFormat="1" applyFont="1" applyFill="1" applyBorder="1" applyAlignment="1" applyProtection="1">
      <alignment horizontal="centerContinuous"/>
      <protection locked="0"/>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6" fontId="10" fillId="6" borderId="27" xfId="15" applyNumberFormat="1" applyFont="1" applyBorder="1" applyAlignment="1">
      <alignment horizontal="right"/>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8" fontId="14" fillId="0" borderId="0" xfId="15" applyNumberFormat="1" applyFont="1" applyBorder="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2" borderId="21" xfId="15" applyNumberFormat="1" applyFont="1" applyFill="1" applyBorder="1" applyAlignment="1" quotePrefix="1">
      <alignment horizontal="centerContinuous"/>
    </xf>
    <xf numFmtId="43" fontId="10" fillId="2" borderId="30" xfId="15" applyNumberFormat="1" applyFont="1" applyFill="1" applyBorder="1" applyAlignment="1" quotePrefix="1">
      <alignment horizontal="centerContinuous" wrapText="1"/>
    </xf>
    <xf numFmtId="43" fontId="14" fillId="2" borderId="14" xfId="15" applyNumberFormat="1" applyFont="1" applyFill="1" applyBorder="1" applyAlignment="1">
      <alignment horizontal="centerContinuous"/>
    </xf>
    <xf numFmtId="43" fontId="10" fillId="2" borderId="22" xfId="15" applyNumberFormat="1" applyFont="1" applyFill="1" applyBorder="1" applyAlignment="1">
      <alignment horizontal="centerContinuous"/>
    </xf>
    <xf numFmtId="43" fontId="10" fillId="2" borderId="4" xfId="15" applyNumberFormat="1" applyFont="1" applyFill="1" applyBorder="1" applyAlignment="1">
      <alignment horizontal="centerContinuous"/>
    </xf>
    <xf numFmtId="43" fontId="10" fillId="2" borderId="15" xfId="15" applyNumberFormat="1" applyFont="1" applyFill="1" applyBorder="1" applyAlignment="1">
      <alignment horizontal="centerContinuous"/>
    </xf>
    <xf numFmtId="43" fontId="10" fillId="0" borderId="21" xfId="15" applyNumberFormat="1" applyFont="1" applyBorder="1" applyAlignment="1">
      <alignment horizontal="centerContinuous"/>
    </xf>
    <xf numFmtId="43" fontId="10" fillId="0" borderId="30" xfId="15" applyNumberFormat="1" applyFont="1" applyBorder="1" applyAlignment="1">
      <alignment horizontal="centerContinuous"/>
    </xf>
    <xf numFmtId="43" fontId="10" fillId="0" borderId="14"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21" fillId="2" borderId="0" xfId="15" applyNumberFormat="1" applyFont="1" applyFill="1" applyBorder="1" applyAlignment="1">
      <alignment horizontal="center" wrapText="1"/>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5" fontId="15" fillId="2" borderId="0" xfId="15" applyNumberFormat="1" applyFont="1" applyFill="1" applyBorder="1" applyAlignment="1">
      <alignment horizontal="center" wrapText="1"/>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0" fillId="2" borderId="4" xfId="15" applyNumberFormat="1" applyFont="1" applyFill="1" applyBorder="1" applyAlignment="1">
      <alignment horizontal="centerContinuous"/>
    </xf>
    <xf numFmtId="7" fontId="10" fillId="2" borderId="0" xfId="15" applyNumberFormat="1" applyFont="1" applyFill="1" applyBorder="1" applyAlignment="1">
      <alignment horizontal="centerContinuous"/>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164" fontId="35" fillId="3" borderId="0" xfId="15" applyNumberFormat="1" applyFont="1" applyFill="1" applyBorder="1" applyAlignment="1">
      <alignment vertical="center" wrapText="1"/>
    </xf>
    <xf numFmtId="164" fontId="35" fillId="3" borderId="0" xfId="15" applyNumberFormat="1" applyFont="1" applyFill="1" applyBorder="1" applyAlignment="1">
      <alignmen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164"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7" fontId="46" fillId="4" borderId="0" xfId="0" applyNumberFormat="1" applyFont="1" applyFill="1" applyBorder="1" applyAlignment="1" applyProtection="1">
      <alignment horizontal="centerContinuous"/>
      <protection locked="0"/>
    </xf>
    <xf numFmtId="172" fontId="6" fillId="0" borderId="0" xfId="15" applyNumberFormat="1" applyFont="1" applyAlignment="1">
      <alignment horizontal="centerContinuous"/>
    </xf>
    <xf numFmtId="172" fontId="7" fillId="0" borderId="0" xfId="15" applyNumberFormat="1" applyFont="1" applyFill="1" applyAlignment="1">
      <alignment horizontal="centerContinuous"/>
    </xf>
    <xf numFmtId="7" fontId="7" fillId="4" borderId="0" xfId="0" applyNumberFormat="1" applyFont="1" applyFill="1" applyBorder="1" applyAlignment="1" applyProtection="1">
      <alignment horizontal="centerContinuous"/>
      <protection locked="0"/>
    </xf>
    <xf numFmtId="172" fontId="7" fillId="4" borderId="0" xfId="15" applyNumberFormat="1" applyFont="1" applyFill="1" applyBorder="1" applyAlignment="1" applyProtection="1">
      <alignment horizontal="centerContinuous"/>
      <protection locked="0"/>
    </xf>
    <xf numFmtId="7" fontId="10" fillId="4" borderId="0" xfId="0" applyNumberFormat="1" applyFont="1" applyFill="1" applyBorder="1" applyAlignment="1" applyProtection="1">
      <alignment/>
      <protection locked="0"/>
    </xf>
    <xf numFmtId="172" fontId="15" fillId="2" borderId="0" xfId="15" applyNumberFormat="1" applyFont="1" applyFill="1" applyAlignment="1">
      <alignment horizontal="centerContinuous" wrapText="1"/>
    </xf>
    <xf numFmtId="172" fontId="15" fillId="2" borderId="0" xfId="15" applyNumberFormat="1" applyFont="1" applyFill="1" applyAlignment="1">
      <alignment horizontal="center" wrapText="1"/>
    </xf>
    <xf numFmtId="172" fontId="15" fillId="5" borderId="0" xfId="15" applyNumberFormat="1" applyFont="1" applyFill="1" applyBorder="1" applyAlignment="1" applyProtection="1">
      <alignment horizontal="center" wrapText="1"/>
      <protection locked="0"/>
    </xf>
    <xf numFmtId="7" fontId="10" fillId="4" borderId="0" xfId="0" applyNumberFormat="1" applyFont="1" applyFill="1" applyBorder="1" applyAlignment="1" applyProtection="1">
      <alignment horizontal="left"/>
      <protection locked="0"/>
    </xf>
    <xf numFmtId="172" fontId="14" fillId="0" borderId="0" xfId="15" applyNumberFormat="1" applyFont="1" applyAlignment="1">
      <alignment/>
    </xf>
    <xf numFmtId="172" fontId="14" fillId="0" borderId="0" xfId="15" applyNumberFormat="1" applyFont="1" applyFill="1" applyAlignment="1">
      <alignment/>
    </xf>
    <xf numFmtId="7" fontId="14" fillId="4" borderId="0" xfId="0" applyNumberFormat="1" applyFont="1" applyFill="1" applyBorder="1" applyAlignment="1" applyProtection="1">
      <alignment/>
      <protection locked="0"/>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64" fontId="10" fillId="0" borderId="0" xfId="15" applyNumberFormat="1" applyFont="1" applyBorder="1" applyAlignment="1">
      <alignment/>
    </xf>
    <xf numFmtId="172" fontId="14" fillId="0" borderId="0" xfId="15" applyNumberFormat="1" applyFont="1" applyAlignment="1">
      <alignment/>
    </xf>
    <xf numFmtId="172" fontId="10" fillId="4" borderId="0" xfId="15" applyNumberFormat="1" applyFont="1" applyFill="1" applyBorder="1" applyAlignment="1" applyProtection="1">
      <alignment/>
      <protection locked="0"/>
    </xf>
    <xf numFmtId="43" fontId="10" fillId="0" borderId="0" xfId="0" applyNumberFormat="1" applyFont="1" applyBorder="1" applyAlignment="1">
      <alignment horizontal="right"/>
    </xf>
    <xf numFmtId="164" fontId="31" fillId="0" borderId="0" xfId="15" applyNumberFormat="1" applyFont="1" applyFill="1" applyAlignment="1">
      <alignment/>
    </xf>
    <xf numFmtId="7" fontId="31" fillId="4" borderId="0" xfId="0" applyNumberFormat="1" applyFont="1" applyFill="1" applyBorder="1" applyAlignment="1" applyProtection="1">
      <alignment/>
      <protection locked="0"/>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9" fontId="14"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164" fontId="15" fillId="2" borderId="0" xfId="15" applyNumberFormat="1" applyFont="1" applyFill="1" applyBorder="1" applyAlignment="1">
      <alignment horizontal="centerContinuous" wrapText="1"/>
    </xf>
    <xf numFmtId="164" fontId="15" fillId="2" borderId="0" xfId="15" applyNumberFormat="1" applyFont="1" applyFill="1" applyBorder="1" applyAlignment="1">
      <alignment horizontal="center" wrapText="1"/>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41" fontId="14" fillId="0" borderId="0" xfId="15" applyNumberFormat="1" applyFont="1" applyFill="1" applyAlignment="1">
      <alignment horizontal="right"/>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6" fontId="10" fillId="6" borderId="31" xfId="15" applyNumberFormat="1" applyFont="1" applyBorder="1" applyAlignment="1">
      <alignment horizontal="right"/>
    </xf>
    <xf numFmtId="6" fontId="10" fillId="6" borderId="15" xfId="15" applyNumberFormat="1" applyFont="1" applyBorder="1" applyAlignment="1">
      <alignment horizontal="right"/>
    </xf>
    <xf numFmtId="43" fontId="10" fillId="0" borderId="6" xfId="15" applyNumberFormat="1" applyFont="1" applyFill="1" applyBorder="1" applyAlignment="1">
      <alignment horizontal="right"/>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7" fontId="7" fillId="0" borderId="0" xfId="0" applyNumberFormat="1" applyFont="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0"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18" fillId="0" borderId="21" xfId="0" applyFont="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externalLink" Target="externalLinks/externalLink14.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satara\Local%20Settings\Temporary%20Internet%20Files\OLK7A\tenant1to4Famil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ATARA\EXCEL\Miscellaneous\4Q04%20FINANCIAL%20STATEMENTS\WRITTEN%20PREMIUM%20REVISED%2020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ATARA\EXCEL\Miscellaneous\4Q04%20FINANCIAL%20STATEMENTS\4Q04%20FLUX%20ANALYSIS%20(A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nancialDept\Financial%20Statements\2004\3Q04\3Q04%20FINANCIAL%20STATE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F15">
            <v>1739979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1Q02 DATA"/>
      <sheetName val="2Q02 DATA"/>
      <sheetName val="3Q02 DATA"/>
      <sheetName val="4Q02 DATA"/>
      <sheetName val="1Q03 DATA"/>
      <sheetName val="2Q03 DATA QTD"/>
      <sheetName val="2Q03 DATA YTD"/>
      <sheetName val="3Q03 DATA QTD"/>
      <sheetName val="4Q03 DATA QTD"/>
      <sheetName val="1Q04"/>
      <sheetName val="2Q04"/>
    </sheetNames>
    <sheetDataSet>
      <sheetData sheetId="23">
        <row r="28">
          <cell r="G28">
            <v>504458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B @ 1-25-05"/>
      <sheetName val="IBNR Calculation-13"/>
      <sheetName val="ALAE &amp; ULAE Calculation-14"/>
      <sheetName val="Loss Exp Factor-15"/>
      <sheetName val="Loss Expenses QTD-16"/>
      <sheetName val="Loss Expenses YTD-17"/>
      <sheetName val="bs-fx QTD"/>
      <sheetName val="bs - fx YTD"/>
      <sheetName val="inc-fx QTD"/>
      <sheetName val="inc - fx YTD"/>
      <sheetName val="inc - fx YTD (2)"/>
    </sheetNames>
    <sheetDataSet>
      <sheetData sheetId="0">
        <row r="17">
          <cell r="F17">
            <v>3949316.3100000005</v>
          </cell>
        </row>
        <row r="21">
          <cell r="F21">
            <v>9495262</v>
          </cell>
        </row>
        <row r="24">
          <cell r="F24">
            <v>45849.92</v>
          </cell>
        </row>
        <row r="32">
          <cell r="F32">
            <v>50692.49</v>
          </cell>
        </row>
        <row r="50">
          <cell r="E50">
            <v>-9240740</v>
          </cell>
        </row>
        <row r="51">
          <cell r="E51">
            <v>-2646702</v>
          </cell>
        </row>
        <row r="52">
          <cell r="E52">
            <v>-32130</v>
          </cell>
        </row>
        <row r="135">
          <cell r="F135">
            <v>-61013.43</v>
          </cell>
        </row>
        <row r="139">
          <cell r="F139">
            <v>-66898.1</v>
          </cell>
        </row>
        <row r="143">
          <cell r="F143">
            <v>-43215.03</v>
          </cell>
        </row>
        <row r="153">
          <cell r="F153">
            <v>-251967.98000000004</v>
          </cell>
        </row>
        <row r="180">
          <cell r="F180">
            <v>-374851.74999999994</v>
          </cell>
        </row>
        <row r="183">
          <cell r="F183">
            <v>-1407926</v>
          </cell>
        </row>
        <row r="186">
          <cell r="F186">
            <v>-335683</v>
          </cell>
        </row>
        <row r="194">
          <cell r="F194">
            <v>-440313</v>
          </cell>
        </row>
        <row r="202">
          <cell r="F202">
            <v>-323548.58999999997</v>
          </cell>
        </row>
        <row r="221">
          <cell r="F221">
            <v>350</v>
          </cell>
        </row>
        <row r="225">
          <cell r="F225">
            <v>127</v>
          </cell>
        </row>
        <row r="227">
          <cell r="C227">
            <v>115</v>
          </cell>
          <cell r="E227">
            <v>297</v>
          </cell>
        </row>
        <row r="228">
          <cell r="C228">
            <v>61</v>
          </cell>
          <cell r="E228">
            <v>129</v>
          </cell>
        </row>
        <row r="230">
          <cell r="C230">
            <v>1011</v>
          </cell>
          <cell r="E230">
            <v>5540</v>
          </cell>
        </row>
        <row r="231">
          <cell r="C231">
            <v>719</v>
          </cell>
          <cell r="E231">
            <v>1868</v>
          </cell>
        </row>
        <row r="232">
          <cell r="C232">
            <v>0</v>
          </cell>
          <cell r="E232">
            <v>20</v>
          </cell>
        </row>
        <row r="234">
          <cell r="C234">
            <v>16742</v>
          </cell>
          <cell r="E234">
            <v>55792</v>
          </cell>
        </row>
        <row r="235">
          <cell r="C235">
            <v>5542</v>
          </cell>
          <cell r="E235">
            <v>20009</v>
          </cell>
        </row>
        <row r="236">
          <cell r="C236">
            <v>9</v>
          </cell>
          <cell r="E236">
            <v>481</v>
          </cell>
        </row>
        <row r="238">
          <cell r="C238">
            <v>-4566777</v>
          </cell>
          <cell r="E238">
            <v>-18638532</v>
          </cell>
        </row>
        <row r="239">
          <cell r="C239">
            <v>-1291269</v>
          </cell>
          <cell r="E239">
            <v>-5338093</v>
          </cell>
        </row>
        <row r="240">
          <cell r="C240">
            <v>-15081</v>
          </cell>
          <cell r="E240">
            <v>-66275</v>
          </cell>
        </row>
        <row r="273">
          <cell r="D273">
            <v>-65163.67000000002</v>
          </cell>
          <cell r="F273">
            <v>-178340.35000000003</v>
          </cell>
        </row>
        <row r="295">
          <cell r="C295">
            <v>-500</v>
          </cell>
        </row>
        <row r="296">
          <cell r="F296">
            <v>-1676.5700000000002</v>
          </cell>
        </row>
        <row r="298">
          <cell r="C298">
            <v>-19.38</v>
          </cell>
          <cell r="F298">
            <v>-76.02</v>
          </cell>
        </row>
        <row r="300">
          <cell r="E300">
            <v>-5674.74</v>
          </cell>
        </row>
        <row r="301">
          <cell r="C301">
            <v>-18500</v>
          </cell>
          <cell r="E301">
            <v>-18500</v>
          </cell>
        </row>
        <row r="303">
          <cell r="C303">
            <v>-9289.13</v>
          </cell>
          <cell r="E303">
            <v>-10772.13</v>
          </cell>
        </row>
        <row r="305">
          <cell r="C305">
            <v>-33882.51</v>
          </cell>
          <cell r="E305">
            <v>-53042.67</v>
          </cell>
        </row>
        <row r="306">
          <cell r="E306">
            <v>-6934.15</v>
          </cell>
        </row>
        <row r="308">
          <cell r="D308">
            <v>-62191.020000000004</v>
          </cell>
          <cell r="F308">
            <v>-96676.28</v>
          </cell>
        </row>
        <row r="485">
          <cell r="D485">
            <v>0</v>
          </cell>
          <cell r="F485">
            <v>-35</v>
          </cell>
        </row>
        <row r="489">
          <cell r="D489">
            <v>0</v>
          </cell>
          <cell r="F489">
            <v>-12.7</v>
          </cell>
        </row>
        <row r="492">
          <cell r="D492">
            <v>-17.6</v>
          </cell>
          <cell r="F492">
            <v>-42.6</v>
          </cell>
        </row>
        <row r="496">
          <cell r="D496">
            <v>-173</v>
          </cell>
          <cell r="F496">
            <v>-742.8</v>
          </cell>
        </row>
        <row r="500">
          <cell r="D500">
            <v>-2229.3</v>
          </cell>
          <cell r="F500">
            <v>-33417.3</v>
          </cell>
        </row>
        <row r="504">
          <cell r="D504">
            <v>582675.6</v>
          </cell>
          <cell r="F504">
            <v>2448800.1</v>
          </cell>
        </row>
        <row r="508">
          <cell r="D508">
            <v>0</v>
          </cell>
          <cell r="F508">
            <v>0</v>
          </cell>
        </row>
        <row r="511">
          <cell r="D511">
            <v>63.6</v>
          </cell>
          <cell r="F511">
            <v>102.3</v>
          </cell>
        </row>
        <row r="515">
          <cell r="D515">
            <v>143.4</v>
          </cell>
          <cell r="F515">
            <v>3433.95</v>
          </cell>
        </row>
        <row r="519">
          <cell r="D519">
            <v>-71068.3</v>
          </cell>
          <cell r="F519">
            <v>-276602.75000000006</v>
          </cell>
        </row>
        <row r="523">
          <cell r="D523">
            <v>0</v>
          </cell>
          <cell r="F523">
            <v>0</v>
          </cell>
        </row>
        <row r="525">
          <cell r="D525">
            <v>509394.39999999997</v>
          </cell>
          <cell r="F525">
            <v>2141483.1999999997</v>
          </cell>
        </row>
        <row r="528">
          <cell r="D528">
            <v>6387.43</v>
          </cell>
          <cell r="F528">
            <v>33905.6</v>
          </cell>
        </row>
        <row r="530">
          <cell r="C530">
            <v>3093.75</v>
          </cell>
          <cell r="E530">
            <v>13200</v>
          </cell>
        </row>
        <row r="533">
          <cell r="D533">
            <v>72478.23</v>
          </cell>
          <cell r="F533">
            <v>331372.32</v>
          </cell>
        </row>
        <row r="535">
          <cell r="D535">
            <v>81959.41</v>
          </cell>
          <cell r="F535">
            <v>378477.92</v>
          </cell>
        </row>
        <row r="830">
          <cell r="D830">
            <v>883130.5700000001</v>
          </cell>
          <cell r="F830">
            <v>3860834.400000006</v>
          </cell>
        </row>
      </sheetData>
      <sheetData sheetId="1">
        <row r="16">
          <cell r="C16">
            <v>59281</v>
          </cell>
        </row>
        <row r="17">
          <cell r="C17">
            <v>0</v>
          </cell>
        </row>
        <row r="18">
          <cell r="C18">
            <v>0</v>
          </cell>
        </row>
        <row r="23">
          <cell r="C23">
            <v>113143.51</v>
          </cell>
        </row>
        <row r="24">
          <cell r="C24">
            <v>11287.49</v>
          </cell>
        </row>
        <row r="25">
          <cell r="C25">
            <v>0</v>
          </cell>
        </row>
        <row r="30">
          <cell r="C30">
            <v>90118.22</v>
          </cell>
        </row>
        <row r="31">
          <cell r="C31">
            <v>9955.78</v>
          </cell>
        </row>
        <row r="32">
          <cell r="C32">
            <v>0</v>
          </cell>
        </row>
        <row r="36">
          <cell r="C36">
            <v>1131729.12</v>
          </cell>
        </row>
        <row r="37">
          <cell r="C37">
            <v>121499.88</v>
          </cell>
        </row>
        <row r="38">
          <cell r="C38">
            <v>0</v>
          </cell>
        </row>
      </sheetData>
      <sheetData sheetId="2">
        <row r="10">
          <cell r="B10">
            <v>3142158.12</v>
          </cell>
          <cell r="C10">
            <v>1159351.77</v>
          </cell>
          <cell r="D10">
            <v>96839.08</v>
          </cell>
          <cell r="E10">
            <v>85000</v>
          </cell>
          <cell r="F10">
            <v>17037.82</v>
          </cell>
        </row>
        <row r="11">
          <cell r="B11">
            <v>337335</v>
          </cell>
          <cell r="C11">
            <v>128078.97</v>
          </cell>
          <cell r="D11">
            <v>9660.92</v>
          </cell>
          <cell r="E11">
            <v>0</v>
          </cell>
          <cell r="F11">
            <v>0</v>
          </cell>
        </row>
        <row r="12">
          <cell r="B12">
            <v>0</v>
          </cell>
          <cell r="C12">
            <v>0</v>
          </cell>
          <cell r="D12">
            <v>0</v>
          </cell>
          <cell r="E12">
            <v>0</v>
          </cell>
          <cell r="F12">
            <v>0</v>
          </cell>
        </row>
        <row r="20">
          <cell r="G20">
            <v>475034</v>
          </cell>
        </row>
        <row r="27">
          <cell r="G27">
            <v>167544.97</v>
          </cell>
        </row>
        <row r="30">
          <cell r="B30">
            <v>386392.94000000006</v>
          </cell>
          <cell r="C30">
            <v>156600.62</v>
          </cell>
          <cell r="D30">
            <v>24674.83</v>
          </cell>
          <cell r="E30">
            <v>9793.1</v>
          </cell>
          <cell r="F30">
            <v>3873.18</v>
          </cell>
        </row>
        <row r="31">
          <cell r="B31">
            <v>41482.28</v>
          </cell>
          <cell r="C31">
            <v>17300.4</v>
          </cell>
          <cell r="D31">
            <v>2461.62</v>
          </cell>
          <cell r="E31">
            <v>0</v>
          </cell>
          <cell r="F31">
            <v>0</v>
          </cell>
        </row>
        <row r="32">
          <cell r="B32">
            <v>0</v>
          </cell>
          <cell r="C32">
            <v>0</v>
          </cell>
          <cell r="D32">
            <v>0</v>
          </cell>
          <cell r="E32">
            <v>0</v>
          </cell>
          <cell r="F32">
            <v>0</v>
          </cell>
        </row>
      </sheetData>
      <sheetData sheetId="4">
        <row r="10">
          <cell r="E10">
            <v>0</v>
          </cell>
          <cell r="K10">
            <v>3107.08</v>
          </cell>
        </row>
        <row r="11">
          <cell r="E11">
            <v>0</v>
          </cell>
          <cell r="K11">
            <v>717.48</v>
          </cell>
        </row>
        <row r="12">
          <cell r="E12">
            <v>0</v>
          </cell>
          <cell r="K12">
            <v>0</v>
          </cell>
        </row>
        <row r="13">
          <cell r="C13">
            <v>3824.56</v>
          </cell>
          <cell r="I13">
            <v>0</v>
          </cell>
        </row>
        <row r="16">
          <cell r="E16">
            <v>0</v>
          </cell>
          <cell r="K16">
            <v>549.78</v>
          </cell>
        </row>
        <row r="17">
          <cell r="E17">
            <v>758</v>
          </cell>
          <cell r="K17">
            <v>6790.18</v>
          </cell>
        </row>
        <row r="18">
          <cell r="E18">
            <v>0</v>
          </cell>
          <cell r="K18">
            <v>0</v>
          </cell>
        </row>
        <row r="19">
          <cell r="C19">
            <v>7305.21</v>
          </cell>
          <cell r="I19">
            <v>34.75</v>
          </cell>
        </row>
        <row r="22">
          <cell r="E22">
            <v>30716</v>
          </cell>
          <cell r="K22">
            <v>6068.259999999999</v>
          </cell>
        </row>
        <row r="23">
          <cell r="E23">
            <v>2198.89</v>
          </cell>
          <cell r="K23">
            <v>13860.98</v>
          </cell>
        </row>
        <row r="24">
          <cell r="E24">
            <v>0</v>
          </cell>
          <cell r="K24">
            <v>0</v>
          </cell>
        </row>
        <row r="25">
          <cell r="C25">
            <v>18420.059999999998</v>
          </cell>
          <cell r="I25">
            <v>1509.1799999999998</v>
          </cell>
        </row>
        <row r="28">
          <cell r="E28">
            <v>1409446.12</v>
          </cell>
          <cell r="K28">
            <v>120954.65</v>
          </cell>
        </row>
        <row r="29">
          <cell r="E29">
            <v>141477.96</v>
          </cell>
          <cell r="K29">
            <v>50631.409999999996</v>
          </cell>
        </row>
        <row r="30">
          <cell r="E30">
            <v>0</v>
          </cell>
          <cell r="K30">
            <v>0</v>
          </cell>
        </row>
        <row r="31">
          <cell r="C31">
            <v>100474.84</v>
          </cell>
          <cell r="I31">
            <v>71111.22</v>
          </cell>
        </row>
        <row r="34">
          <cell r="E34">
            <v>874363.5</v>
          </cell>
          <cell r="K34">
            <v>97676.23999999999</v>
          </cell>
        </row>
        <row r="35">
          <cell r="E35">
            <v>155084.31</v>
          </cell>
          <cell r="K35">
            <v>71305.08</v>
          </cell>
        </row>
        <row r="36">
          <cell r="E36">
            <v>0</v>
          </cell>
          <cell r="K36">
            <v>487.56</v>
          </cell>
        </row>
        <row r="37">
          <cell r="C37">
            <v>122267.81</v>
          </cell>
          <cell r="I37">
            <v>47201.07</v>
          </cell>
        </row>
        <row r="43">
          <cell r="C43">
            <v>252292.47999999998</v>
          </cell>
          <cell r="E43">
            <v>2614044.7800000003</v>
          </cell>
          <cell r="I43">
            <v>119856.22</v>
          </cell>
        </row>
      </sheetData>
      <sheetData sheetId="5">
        <row r="10">
          <cell r="E10">
            <v>100461.42</v>
          </cell>
          <cell r="K10">
            <v>17555.72</v>
          </cell>
        </row>
        <row r="11">
          <cell r="E11">
            <v>0</v>
          </cell>
          <cell r="K11">
            <v>717.48</v>
          </cell>
        </row>
        <row r="12">
          <cell r="E12">
            <v>0</v>
          </cell>
          <cell r="K12">
            <v>0</v>
          </cell>
        </row>
        <row r="13">
          <cell r="C13">
            <v>14301.03</v>
          </cell>
          <cell r="I13">
            <v>3972.17</v>
          </cell>
        </row>
        <row r="16">
          <cell r="E16">
            <v>0</v>
          </cell>
          <cell r="K16">
            <v>2384.96</v>
          </cell>
        </row>
        <row r="17">
          <cell r="E17">
            <v>6510.89</v>
          </cell>
          <cell r="K17">
            <v>8203.310000000001</v>
          </cell>
        </row>
        <row r="18">
          <cell r="E18">
            <v>0</v>
          </cell>
          <cell r="K18">
            <v>0</v>
          </cell>
        </row>
        <row r="19">
          <cell r="C19">
            <v>10304.470000000001</v>
          </cell>
          <cell r="I19">
            <v>283.8</v>
          </cell>
        </row>
        <row r="22">
          <cell r="E22">
            <v>1724131.81</v>
          </cell>
          <cell r="K22">
            <v>140073.36</v>
          </cell>
        </row>
        <row r="23">
          <cell r="E23">
            <v>180698.23</v>
          </cell>
          <cell r="K23">
            <v>69862.6</v>
          </cell>
        </row>
        <row r="24">
          <cell r="E24">
            <v>0</v>
          </cell>
          <cell r="K24">
            <v>0</v>
          </cell>
        </row>
        <row r="25">
          <cell r="C25">
            <v>136430.36</v>
          </cell>
          <cell r="I25">
            <v>73505.6</v>
          </cell>
        </row>
        <row r="28">
          <cell r="E28">
            <v>7399560.44</v>
          </cell>
          <cell r="K28">
            <v>645059.48</v>
          </cell>
        </row>
        <row r="29">
          <cell r="E29">
            <v>1431587.87</v>
          </cell>
          <cell r="K29">
            <v>392811.14</v>
          </cell>
        </row>
        <row r="30">
          <cell r="E30">
            <v>1229</v>
          </cell>
          <cell r="K30">
            <v>6301.620000000001</v>
          </cell>
        </row>
        <row r="31">
          <cell r="C31">
            <v>677290.22</v>
          </cell>
          <cell r="I31">
            <v>366882.02</v>
          </cell>
        </row>
        <row r="34">
          <cell r="E34">
            <v>1570145.04</v>
          </cell>
          <cell r="K34">
            <v>166076.65000000002</v>
          </cell>
        </row>
        <row r="35">
          <cell r="E35">
            <v>357160.34</v>
          </cell>
          <cell r="K35">
            <v>168658.34</v>
          </cell>
        </row>
        <row r="36">
          <cell r="E36">
            <v>0</v>
          </cell>
          <cell r="K36">
            <v>487.56</v>
          </cell>
        </row>
        <row r="37">
          <cell r="C37">
            <v>249005.72</v>
          </cell>
          <cell r="I37">
            <v>86216.83</v>
          </cell>
        </row>
        <row r="43">
          <cell r="C43">
            <v>1087331.8</v>
          </cell>
          <cell r="E43">
            <v>12771485.040000001</v>
          </cell>
          <cell r="I43">
            <v>530860.42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Balance Sheet-1"/>
      <sheetName val="Income Statement-2"/>
      <sheetName val="Equity QTD-3"/>
      <sheetName val="Equity YTD-4"/>
      <sheetName val="(9)Equity YTD4"/>
      <sheetName val="Earned Incurred QTD-5"/>
      <sheetName val="(8)Earned Incurred YTD6"/>
      <sheetName val="(7)Premiums YTD8"/>
      <sheetName val="Earned Incurred YTD-6"/>
      <sheetName val="Premiums QTD-7"/>
      <sheetName val="Premiums YTD-8"/>
      <sheetName val="Losses Incurred QTD-9"/>
      <sheetName val="Losses Incurred YTD-10"/>
      <sheetName val="Loss Expenses QTD-11"/>
      <sheetName val="Loss Expenses YTD-12"/>
      <sheetName val="(6)Losses Incurred YTD-p1"/>
      <sheetName val="(6)Losses Incurred YTD10"/>
      <sheetName val="(4)Loss Expenses YTD12"/>
      <sheetName val="IBNR JE2"/>
      <sheetName val="(1)ULEP-YTD17"/>
      <sheetName val="Business Summary"/>
    </sheetNames>
    <sheetDataSet>
      <sheetData sheetId="11">
        <row r="32">
          <cell r="C32">
            <v>86322.5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9" t="s">
        <v>258</v>
      </c>
      <c r="B1" s="949"/>
      <c r="C1" s="949"/>
      <c r="D1" s="949"/>
      <c r="E1" s="949"/>
      <c r="F1" s="949"/>
      <c r="G1" s="949"/>
      <c r="H1" s="949"/>
      <c r="I1" s="949"/>
    </row>
    <row r="2" spans="1:7" s="20" customFormat="1" ht="18.75">
      <c r="A2" s="950"/>
      <c r="B2" s="950"/>
      <c r="C2" s="950"/>
      <c r="D2" s="950"/>
      <c r="E2" s="950"/>
      <c r="F2" s="372"/>
      <c r="G2" s="372"/>
    </row>
    <row r="3" spans="1:9" s="21" customFormat="1" ht="15">
      <c r="A3" s="951" t="s">
        <v>276</v>
      </c>
      <c r="B3" s="951"/>
      <c r="C3" s="951"/>
      <c r="D3" s="951"/>
      <c r="E3" s="951"/>
      <c r="F3" s="951"/>
      <c r="G3" s="951"/>
      <c r="H3" s="951"/>
      <c r="I3" s="951"/>
    </row>
    <row r="4" spans="1:9" s="21" customFormat="1" ht="15">
      <c r="A4" s="952" t="s">
        <v>155</v>
      </c>
      <c r="B4" s="952"/>
      <c r="C4" s="952"/>
      <c r="D4" s="952"/>
      <c r="E4" s="952"/>
      <c r="F4" s="952"/>
      <c r="G4" s="952"/>
      <c r="H4" s="952"/>
      <c r="I4" s="952"/>
    </row>
    <row r="5" spans="1:9" s="21" customFormat="1" ht="15">
      <c r="A5" s="652"/>
      <c r="B5" s="653"/>
      <c r="C5" s="653"/>
      <c r="D5" s="653"/>
      <c r="E5" s="653"/>
      <c r="F5" s="337"/>
      <c r="G5" s="337"/>
      <c r="H5" s="337"/>
      <c r="I5" s="337"/>
    </row>
    <row r="6" spans="1:7" ht="14.25">
      <c r="A6" s="22"/>
      <c r="B6" s="344"/>
      <c r="C6" s="344"/>
      <c r="F6" s="344"/>
      <c r="G6" s="344"/>
    </row>
    <row r="7" spans="2:9" ht="15">
      <c r="B7" s="654" t="s">
        <v>230</v>
      </c>
      <c r="C7" s="654"/>
      <c r="D7" s="654" t="s">
        <v>18</v>
      </c>
      <c r="E7" s="654"/>
      <c r="F7" s="654" t="s">
        <v>230</v>
      </c>
      <c r="G7" s="654"/>
      <c r="H7" s="654" t="s">
        <v>18</v>
      </c>
      <c r="I7" s="654"/>
    </row>
    <row r="8" spans="1:9" ht="15">
      <c r="A8" s="655"/>
      <c r="B8" s="516" t="s">
        <v>231</v>
      </c>
      <c r="C8" s="516"/>
      <c r="D8" s="516" t="s">
        <v>139</v>
      </c>
      <c r="E8" s="516"/>
      <c r="F8" s="516" t="s">
        <v>232</v>
      </c>
      <c r="G8" s="516"/>
      <c r="H8" s="516" t="s">
        <v>140</v>
      </c>
      <c r="I8" s="516"/>
    </row>
    <row r="9" spans="2:9" ht="15">
      <c r="B9" s="656"/>
      <c r="C9" s="657"/>
      <c r="D9" s="656"/>
      <c r="E9" s="658"/>
      <c r="F9" s="656"/>
      <c r="G9" s="658"/>
      <c r="H9" s="656"/>
      <c r="I9" s="658"/>
    </row>
    <row r="10" spans="1:9" ht="15">
      <c r="A10" s="655" t="s">
        <v>278</v>
      </c>
      <c r="B10" s="656"/>
      <c r="C10" s="658"/>
      <c r="D10" s="656"/>
      <c r="E10" s="658"/>
      <c r="F10" s="656"/>
      <c r="G10" s="658"/>
      <c r="H10" s="656"/>
      <c r="I10" s="658"/>
    </row>
    <row r="11" spans="1:9" ht="15">
      <c r="A11" s="655"/>
      <c r="B11" s="656"/>
      <c r="C11" s="658"/>
      <c r="D11" s="656"/>
      <c r="E11" s="658"/>
      <c r="F11" s="656"/>
      <c r="G11" s="658"/>
      <c r="H11" s="656"/>
      <c r="I11" s="658"/>
    </row>
    <row r="12" spans="1:9" ht="15">
      <c r="A12" s="18" t="s">
        <v>279</v>
      </c>
      <c r="C12" s="574">
        <f>'[8]Earned Incurred QTD-p5'!D16</f>
        <v>4977049</v>
      </c>
      <c r="D12" s="496"/>
      <c r="E12" s="574">
        <f>'[8]Earned Incurred YTD-p6'!D16</f>
        <v>14052348</v>
      </c>
      <c r="G12" s="574">
        <f>+'[7]Income Statement (pg 2)'!$C$12</f>
        <v>4336172</v>
      </c>
      <c r="I12" s="574">
        <f>+'[7]Income Statement (pg 2)'!$E$12</f>
        <v>12605846</v>
      </c>
    </row>
    <row r="13" spans="1:9" ht="15">
      <c r="A13" s="655"/>
      <c r="C13" s="492"/>
      <c r="E13" s="492"/>
      <c r="G13" s="492"/>
      <c r="I13" s="492"/>
    </row>
    <row r="14" spans="1:9" ht="15">
      <c r="A14" s="655" t="s">
        <v>280</v>
      </c>
      <c r="C14" s="492"/>
      <c r="E14" s="492"/>
      <c r="G14" s="492"/>
      <c r="I14" s="492"/>
    </row>
    <row r="15" spans="1:9" ht="14.25">
      <c r="A15" s="18" t="s">
        <v>281</v>
      </c>
      <c r="B15" s="127">
        <f>'[8]Earned Incurred QTD-p5'!D23</f>
        <v>3008827.2250000006</v>
      </c>
      <c r="C15" s="492"/>
      <c r="D15" s="127">
        <f>'[8]Earned Incurred YTD-p6'!D23</f>
        <v>10083053.040000003</v>
      </c>
      <c r="E15" s="492"/>
      <c r="F15" s="127">
        <f>+'[7]Income Statement (pg 2)'!$B$15</f>
        <v>3666364.3599999994</v>
      </c>
      <c r="G15" s="492"/>
      <c r="H15" s="127">
        <f>+'[7]Income Statement (pg 2)'!$D$15</f>
        <v>10954919.14</v>
      </c>
      <c r="I15" s="492"/>
    </row>
    <row r="16" spans="1:9" ht="14.25">
      <c r="A16" s="18" t="s">
        <v>282</v>
      </c>
      <c r="B16" s="127">
        <f>'[8]Earned Incurred QTD-p5'!D30</f>
        <v>391930.13999999996</v>
      </c>
      <c r="C16" s="492"/>
      <c r="D16" s="127">
        <f>'[8]Earned Incurred YTD-p6'!D30</f>
        <v>1203762.75</v>
      </c>
      <c r="E16" s="492"/>
      <c r="F16" s="127">
        <f>+'[7]Income Statement (pg 2)'!$B$16</f>
        <v>411228.76</v>
      </c>
      <c r="G16" s="492"/>
      <c r="H16" s="127">
        <f>+'[7]Income Statement (pg 2)'!$D$16</f>
        <v>1134850.71</v>
      </c>
      <c r="I16" s="492"/>
    </row>
    <row r="17" spans="1:9" ht="14.25">
      <c r="A17" s="18" t="s">
        <v>283</v>
      </c>
      <c r="B17" s="127">
        <f>'[8]Earned Incurred QTD-p5'!D37</f>
        <v>502893.80000000005</v>
      </c>
      <c r="C17" s="492"/>
      <c r="D17" s="127">
        <f>+'[8]Earned Incurred YTD-p6'!D37</f>
        <v>1421253.0999999999</v>
      </c>
      <c r="E17" s="492"/>
      <c r="F17" s="127">
        <f>+'[7]Income Statement (pg 2)'!$B$17:$B$17</f>
        <v>404349.55000000005</v>
      </c>
      <c r="G17" s="492"/>
      <c r="H17" s="127">
        <f>+'[7]Income Statement (pg 2)'!$D$17</f>
        <v>1195688.7</v>
      </c>
      <c r="I17" s="492"/>
    </row>
    <row r="18" spans="1:9" ht="14.25">
      <c r="A18" s="18" t="s">
        <v>284</v>
      </c>
      <c r="B18" s="127">
        <f>'[8]Earned Incurred QTD-p5'!C39+'[8]Earned Incurred QTD-p5'!C38+'[8]Earned Incurred QTD-p5'!C43</f>
        <v>1078138.9600000002</v>
      </c>
      <c r="C18" s="492"/>
      <c r="D18" s="127">
        <f>'[8]Earned Incurred YTD-p6'!C38+'[8]Earned Incurred YTD-p6'!C39+'[8]Earned Incurred YTD-p6'!C43</f>
        <v>3156457.869999998</v>
      </c>
      <c r="E18" s="492"/>
      <c r="F18" s="127">
        <f>+'[7]Income Statement (pg 2)'!$B$18</f>
        <v>859175.9900000002</v>
      </c>
      <c r="G18" s="492"/>
      <c r="H18" s="127">
        <f>+'[7]Income Statement (pg 2)'!$D$18</f>
        <v>2663959.2600000016</v>
      </c>
      <c r="I18" s="492"/>
    </row>
    <row r="19" spans="1:9" ht="14.25">
      <c r="A19" s="18" t="s">
        <v>99</v>
      </c>
      <c r="B19" s="145">
        <f>'[8]Earned Incurred QTD-p5'!D36</f>
        <v>19861.65</v>
      </c>
      <c r="C19" s="492"/>
      <c r="D19" s="145">
        <f>'[8]Earned Incurred YTD-p6'!D36</f>
        <v>77491.65</v>
      </c>
      <c r="E19" s="492"/>
      <c r="F19" s="145">
        <f>+'[7]Income Statement (pg 2)'!$B$19</f>
        <v>11580</v>
      </c>
      <c r="G19" s="492"/>
      <c r="H19" s="145">
        <f>+'[7]Income Statement (pg 2)'!$D$19</f>
        <v>32840.51</v>
      </c>
      <c r="I19" s="492"/>
    </row>
    <row r="20" spans="1:9" ht="14.25">
      <c r="A20" s="18" t="s">
        <v>285</v>
      </c>
      <c r="C20" s="491">
        <f>SUM(B15:B19)</f>
        <v>5001651.775000001</v>
      </c>
      <c r="E20" s="491">
        <f>SUM(D15:D19)</f>
        <v>15942018.41</v>
      </c>
      <c r="G20" s="491">
        <f>SUM(F15:F19)</f>
        <v>5352698.659999999</v>
      </c>
      <c r="I20" s="491">
        <f>SUM(H15:H19)</f>
        <v>15982258.320000002</v>
      </c>
    </row>
    <row r="21" spans="3:9" ht="14.25">
      <c r="C21" s="492"/>
      <c r="E21" s="492"/>
      <c r="G21" s="492"/>
      <c r="I21" s="492"/>
    </row>
    <row r="22" spans="1:9" ht="14.25">
      <c r="A22" s="18" t="s">
        <v>389</v>
      </c>
      <c r="C22" s="491">
        <f>C12-C20</f>
        <v>-24602.775000001304</v>
      </c>
      <c r="E22" s="491">
        <f>E12-E20</f>
        <v>-1889670.4100000001</v>
      </c>
      <c r="G22" s="491">
        <f>G12-G20</f>
        <v>-1016526.6599999992</v>
      </c>
      <c r="I22" s="491">
        <f>I12-I20</f>
        <v>-3376412.320000002</v>
      </c>
    </row>
    <row r="23" spans="1:9" ht="15">
      <c r="A23" s="655"/>
      <c r="C23" s="492"/>
      <c r="E23" s="492"/>
      <c r="G23" s="492"/>
      <c r="I23" s="492"/>
    </row>
    <row r="24" spans="1:9" ht="15">
      <c r="A24" s="655" t="s">
        <v>286</v>
      </c>
      <c r="C24" s="492"/>
      <c r="E24" s="492"/>
      <c r="G24" s="492"/>
      <c r="I24" s="492"/>
    </row>
    <row r="25" spans="1:9" ht="14.25">
      <c r="A25" s="18" t="s">
        <v>287</v>
      </c>
      <c r="C25" s="492">
        <f>'[8]Earned Incurred QTD-p5'!D52</f>
        <v>26859.149999999994</v>
      </c>
      <c r="E25" s="492">
        <f>'[8]Earned Incurred YTD-p6'!D52</f>
        <v>88395.67</v>
      </c>
      <c r="G25" s="492">
        <f>+'[7]Income Statement (pg 2)'!$C$25</f>
        <v>52310.600000000006</v>
      </c>
      <c r="I25" s="492">
        <f>+'[7]Income Statement (pg 2)'!$E$25</f>
        <v>170480.6</v>
      </c>
    </row>
    <row r="26" spans="3:9" ht="14.25">
      <c r="C26" s="492"/>
      <c r="E26" s="492"/>
      <c r="G26" s="492"/>
      <c r="I26" s="492"/>
    </row>
    <row r="27" spans="1:9" ht="15" thickBot="1">
      <c r="A27" s="18" t="s">
        <v>390</v>
      </c>
      <c r="C27" s="493">
        <f>C22+C25</f>
        <v>2256.3749999986903</v>
      </c>
      <c r="E27" s="493">
        <f>E22+E25</f>
        <v>-1801274.7400000002</v>
      </c>
      <c r="G27" s="493">
        <f>G22+G25</f>
        <v>-964216.0599999992</v>
      </c>
      <c r="I27" s="493">
        <f>I22+I25</f>
        <v>-3205931.720000002</v>
      </c>
    </row>
    <row r="28" spans="1:9" ht="15">
      <c r="A28" s="655"/>
      <c r="C28" s="659"/>
      <c r="E28" s="492"/>
      <c r="G28" s="659"/>
      <c r="I28" s="492"/>
    </row>
    <row r="29" spans="1:9" ht="15">
      <c r="A29" s="655" t="s">
        <v>274</v>
      </c>
      <c r="C29" s="492"/>
      <c r="E29" s="492"/>
      <c r="G29" s="492"/>
      <c r="I29" s="492"/>
    </row>
    <row r="30" spans="1:9" ht="14.25">
      <c r="A30" s="18" t="s">
        <v>288</v>
      </c>
      <c r="C30" s="492">
        <f>'[9]Balance Sheet-p1'!$E$45</f>
        <v>-11338276.419999996</v>
      </c>
      <c r="E30" s="492">
        <f>'[9]Income Statement-p2'!$E$30</f>
        <v>-9552178.5</v>
      </c>
      <c r="G30" s="492">
        <f>+'[7]Income Statement (pg 2)'!$C$30</f>
        <v>-7427828.95</v>
      </c>
      <c r="I30" s="492">
        <v>-5217179.38</v>
      </c>
    </row>
    <row r="31" spans="1:9" ht="14.25">
      <c r="A31" s="18" t="s">
        <v>391</v>
      </c>
      <c r="B31" s="127">
        <f>C27</f>
        <v>2256.3749999986903</v>
      </c>
      <c r="C31" s="492"/>
      <c r="D31" s="127">
        <f>+'[8]Earned Incurred YTD-p6'!D54</f>
        <v>-1801274.7400000002</v>
      </c>
      <c r="E31" s="492"/>
      <c r="F31" s="127">
        <f>G27</f>
        <v>-964216.0599999992</v>
      </c>
      <c r="G31" s="492"/>
      <c r="H31" s="127">
        <f>I27</f>
        <v>-3205931.720000002</v>
      </c>
      <c r="I31" s="492"/>
    </row>
    <row r="32" spans="1:9" ht="14.25" customHeight="1">
      <c r="A32" s="18" t="s">
        <v>289</v>
      </c>
      <c r="B32" s="145">
        <v>15024.93</v>
      </c>
      <c r="D32" s="127">
        <v>32458.12</v>
      </c>
      <c r="E32" s="492"/>
      <c r="F32" s="494">
        <f>+'[7]Income Statement (pg 2)'!$B$32</f>
        <v>16655</v>
      </c>
      <c r="G32" s="492"/>
      <c r="H32" s="127">
        <f>+'[7]Income Statement (pg 2)'!$D$32</f>
        <v>-287408.34</v>
      </c>
      <c r="I32" s="492"/>
    </row>
    <row r="33" spans="1:9" ht="14.25">
      <c r="A33" s="18" t="s">
        <v>70</v>
      </c>
      <c r="B33" s="127">
        <v>0</v>
      </c>
      <c r="D33" s="127">
        <f>-40790-4979.98-26-1710</f>
        <v>-47505.979999999996</v>
      </c>
      <c r="E33" s="492"/>
      <c r="F33" s="127">
        <v>0</v>
      </c>
      <c r="H33" s="495">
        <f>+'[7]Income Statement (pg 2)'!$D$33</f>
        <v>-25.57</v>
      </c>
      <c r="I33" s="492"/>
    </row>
    <row r="34" spans="1:9" ht="14.25">
      <c r="A34" s="18" t="s">
        <v>71</v>
      </c>
      <c r="B34" s="145">
        <v>0</v>
      </c>
      <c r="C34" s="492"/>
      <c r="D34" s="145">
        <v>0</v>
      </c>
      <c r="E34" s="492"/>
      <c r="F34" s="145" t="e">
        <f>+'[10]TB09-30-02(Final)'!I931</f>
        <v>#REF!</v>
      </c>
      <c r="G34" s="492"/>
      <c r="H34" s="145">
        <f>+'[7]Income Statement (pg 2)'!$D$34</f>
        <v>335155</v>
      </c>
      <c r="I34" s="492"/>
    </row>
    <row r="35" spans="1:9" ht="14.25">
      <c r="A35" s="18" t="s">
        <v>290</v>
      </c>
      <c r="C35" s="492">
        <f>SUM(B31:B32)</f>
        <v>17281.30499999869</v>
      </c>
      <c r="E35" s="492">
        <f>SUM(D31:D32)</f>
        <v>-1768816.62</v>
      </c>
      <c r="G35" s="492">
        <f>SUM(F31:F32)</f>
        <v>-947561.0599999992</v>
      </c>
      <c r="I35" s="492">
        <f>SUM(H31:H34)</f>
        <v>-3158210.6300000018</v>
      </c>
    </row>
    <row r="36" spans="3:9" ht="14.25">
      <c r="C36" s="492"/>
      <c r="E36" s="492"/>
      <c r="G36" s="492"/>
      <c r="I36" s="492"/>
    </row>
    <row r="37" spans="1:9" ht="15.75" thickBot="1">
      <c r="A37" s="117" t="s">
        <v>233</v>
      </c>
      <c r="C37" s="570">
        <f>C30+C35</f>
        <v>-11320995.114999998</v>
      </c>
      <c r="D37" s="496"/>
      <c r="E37" s="570">
        <f>E30+E35</f>
        <v>-11320995.120000001</v>
      </c>
      <c r="G37" s="570">
        <f>G30+G35</f>
        <v>-8375390.01</v>
      </c>
      <c r="H37" s="496"/>
      <c r="I37" s="570">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5" customWidth="1"/>
    <col min="3" max="3" width="17.57421875" style="555" customWidth="1"/>
    <col min="4" max="4" width="17.28125" style="555"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91" t="s">
        <v>258</v>
      </c>
      <c r="B1" s="992"/>
      <c r="C1" s="992"/>
      <c r="D1" s="993"/>
      <c r="E1" s="983"/>
      <c r="F1" s="983"/>
      <c r="G1" s="983"/>
      <c r="H1" s="984"/>
      <c r="I1" s="45"/>
      <c r="J1" s="45"/>
      <c r="K1" s="45"/>
      <c r="L1" s="45"/>
      <c r="M1" s="982"/>
      <c r="N1" s="983"/>
      <c r="O1" s="983"/>
      <c r="P1" s="984"/>
      <c r="Q1" s="982"/>
      <c r="R1" s="983"/>
      <c r="S1" s="983"/>
      <c r="T1" s="984"/>
      <c r="U1" s="982"/>
      <c r="V1" s="983"/>
      <c r="W1" s="983"/>
      <c r="X1" s="984"/>
      <c r="Y1" s="982"/>
      <c r="Z1" s="983"/>
      <c r="AA1" s="983"/>
      <c r="AB1" s="984"/>
      <c r="AC1" s="982"/>
      <c r="AD1" s="983"/>
      <c r="AE1" s="983"/>
      <c r="AF1" s="984"/>
      <c r="AG1" s="982"/>
      <c r="AH1" s="983"/>
      <c r="AI1" s="983"/>
      <c r="AJ1" s="984"/>
      <c r="AK1" s="982"/>
      <c r="AL1" s="983"/>
      <c r="AM1" s="983"/>
      <c r="AN1" s="984"/>
      <c r="AO1" s="982"/>
      <c r="AP1" s="983"/>
      <c r="AQ1" s="983"/>
      <c r="AR1" s="984"/>
      <c r="AS1" s="982"/>
      <c r="AT1" s="983"/>
      <c r="AU1" s="983"/>
      <c r="AV1" s="984"/>
      <c r="AW1" s="982"/>
      <c r="AX1" s="983"/>
      <c r="AY1" s="983"/>
      <c r="AZ1" s="984"/>
      <c r="BA1" s="982"/>
      <c r="BB1" s="983"/>
      <c r="BC1" s="983"/>
      <c r="BD1" s="984"/>
      <c r="BE1" s="982"/>
      <c r="BF1" s="983"/>
      <c r="BG1" s="983"/>
      <c r="BH1" s="984"/>
      <c r="BI1" s="982"/>
      <c r="BJ1" s="983"/>
      <c r="BK1" s="983"/>
      <c r="BL1" s="984"/>
      <c r="BM1" s="982"/>
      <c r="BN1" s="983"/>
      <c r="BO1" s="983"/>
      <c r="BP1" s="984"/>
      <c r="BQ1" s="982"/>
      <c r="BR1" s="983"/>
      <c r="BS1" s="983"/>
      <c r="BT1" s="984"/>
      <c r="BU1" s="982"/>
      <c r="BV1" s="983"/>
      <c r="BW1" s="983"/>
      <c r="BX1" s="984"/>
      <c r="BY1" s="982"/>
      <c r="BZ1" s="983"/>
      <c r="CA1" s="983"/>
      <c r="CB1" s="984"/>
      <c r="CC1" s="982"/>
      <c r="CD1" s="983"/>
      <c r="CE1" s="983"/>
      <c r="CF1" s="984"/>
      <c r="CG1" s="982"/>
      <c r="CH1" s="983"/>
      <c r="CI1" s="983"/>
      <c r="CJ1" s="984"/>
      <c r="CK1" s="982"/>
      <c r="CL1" s="983"/>
      <c r="CM1" s="983"/>
      <c r="CN1" s="984"/>
      <c r="CO1" s="982"/>
      <c r="CP1" s="983"/>
      <c r="CQ1" s="983"/>
      <c r="CR1" s="984"/>
      <c r="CS1" s="982"/>
      <c r="CT1" s="983"/>
      <c r="CU1" s="983"/>
      <c r="CV1" s="984"/>
      <c r="CW1" s="982"/>
      <c r="CX1" s="983"/>
      <c r="CY1" s="983"/>
      <c r="CZ1" s="984"/>
      <c r="DA1" s="982"/>
      <c r="DB1" s="983"/>
      <c r="DC1" s="983"/>
      <c r="DD1" s="984"/>
      <c r="DE1" s="982"/>
      <c r="DF1" s="983"/>
      <c r="DG1" s="983"/>
      <c r="DH1" s="984"/>
      <c r="DI1" s="982"/>
      <c r="DJ1" s="983"/>
      <c r="DK1" s="983"/>
      <c r="DL1" s="984"/>
      <c r="DM1" s="982"/>
      <c r="DN1" s="983"/>
      <c r="DO1" s="983"/>
      <c r="DP1" s="984"/>
      <c r="DQ1" s="982"/>
      <c r="DR1" s="983"/>
      <c r="DS1" s="983"/>
      <c r="DT1" s="984"/>
      <c r="DU1" s="982"/>
      <c r="DV1" s="983"/>
      <c r="DW1" s="983"/>
      <c r="DX1" s="984"/>
      <c r="DY1" s="982"/>
      <c r="DZ1" s="983"/>
      <c r="EA1" s="983"/>
      <c r="EB1" s="984"/>
      <c r="EC1" s="982"/>
      <c r="ED1" s="983"/>
      <c r="EE1" s="983"/>
      <c r="EF1" s="984"/>
      <c r="EG1" s="982"/>
      <c r="EH1" s="983"/>
      <c r="EI1" s="983"/>
      <c r="EJ1" s="984"/>
      <c r="EK1" s="982"/>
      <c r="EL1" s="983"/>
      <c r="EM1" s="983"/>
      <c r="EN1" s="984"/>
      <c r="EO1" s="982"/>
      <c r="EP1" s="983"/>
      <c r="EQ1" s="983"/>
      <c r="ER1" s="984"/>
      <c r="ES1" s="982"/>
      <c r="ET1" s="983"/>
      <c r="EU1" s="983"/>
      <c r="EV1" s="984"/>
      <c r="EW1" s="982"/>
      <c r="EX1" s="983"/>
      <c r="EY1" s="983"/>
      <c r="EZ1" s="984"/>
      <c r="FA1" s="982"/>
      <c r="FB1" s="983"/>
      <c r="FC1" s="983"/>
      <c r="FD1" s="984"/>
      <c r="FE1" s="982"/>
      <c r="FF1" s="983"/>
      <c r="FG1" s="983"/>
      <c r="FH1" s="984"/>
      <c r="FI1" s="982"/>
      <c r="FJ1" s="983"/>
      <c r="FK1" s="983"/>
      <c r="FL1" s="984"/>
      <c r="FM1" s="982"/>
      <c r="FN1" s="983"/>
      <c r="FO1" s="983"/>
      <c r="FP1" s="984"/>
      <c r="FQ1" s="982"/>
      <c r="FR1" s="983"/>
      <c r="FS1" s="983"/>
      <c r="FT1" s="984"/>
      <c r="FU1" s="982"/>
      <c r="FV1" s="983"/>
      <c r="FW1" s="983"/>
      <c r="FX1" s="984"/>
      <c r="FY1" s="982"/>
      <c r="FZ1" s="983"/>
      <c r="GA1" s="983"/>
      <c r="GB1" s="984"/>
      <c r="GC1" s="982"/>
      <c r="GD1" s="983"/>
      <c r="GE1" s="983"/>
      <c r="GF1" s="984"/>
      <c r="GG1" s="982"/>
      <c r="GH1" s="983"/>
      <c r="GI1" s="983"/>
      <c r="GJ1" s="984"/>
      <c r="GK1" s="982"/>
      <c r="GL1" s="983"/>
      <c r="GM1" s="983"/>
      <c r="GN1" s="984"/>
      <c r="GO1" s="982"/>
      <c r="GP1" s="983"/>
      <c r="GQ1" s="983"/>
      <c r="GR1" s="984"/>
      <c r="GS1" s="982"/>
      <c r="GT1" s="983"/>
      <c r="GU1" s="983"/>
      <c r="GV1" s="984"/>
      <c r="GW1" s="982"/>
      <c r="GX1" s="983"/>
      <c r="GY1" s="983"/>
      <c r="GZ1" s="984"/>
      <c r="HA1" s="982"/>
      <c r="HB1" s="983"/>
      <c r="HC1" s="983"/>
      <c r="HD1" s="984"/>
      <c r="HE1" s="982"/>
      <c r="HF1" s="983"/>
      <c r="HG1" s="983"/>
      <c r="HH1" s="984"/>
      <c r="HI1" s="982"/>
      <c r="HJ1" s="983"/>
      <c r="HK1" s="983"/>
      <c r="HL1" s="984"/>
      <c r="HM1" s="982"/>
      <c r="HN1" s="983"/>
      <c r="HO1" s="983"/>
      <c r="HP1" s="984"/>
      <c r="HQ1" s="982"/>
      <c r="HR1" s="983"/>
      <c r="HS1" s="983"/>
      <c r="HT1" s="984"/>
      <c r="HU1" s="982"/>
      <c r="HV1" s="983"/>
      <c r="HW1" s="983"/>
      <c r="HX1" s="984"/>
      <c r="HY1" s="982"/>
      <c r="HZ1" s="983"/>
      <c r="IA1" s="983"/>
      <c r="IB1" s="984"/>
      <c r="IC1" s="982"/>
      <c r="ID1" s="983"/>
      <c r="IE1" s="983"/>
      <c r="IF1" s="984"/>
      <c r="IG1" s="982"/>
      <c r="IH1" s="983"/>
      <c r="II1" s="983"/>
      <c r="IJ1" s="984"/>
      <c r="IK1" s="982"/>
      <c r="IL1" s="983"/>
      <c r="IM1" s="983"/>
      <c r="IN1" s="984"/>
      <c r="IO1" s="982"/>
      <c r="IP1" s="983"/>
      <c r="IQ1" s="983"/>
      <c r="IR1" s="984"/>
      <c r="IS1" s="982"/>
      <c r="IT1" s="983"/>
      <c r="IU1" s="983"/>
      <c r="IV1" s="984"/>
    </row>
    <row r="2" spans="1:6" s="45" customFormat="1" ht="18" customHeight="1">
      <c r="A2" s="964"/>
      <c r="B2" s="965"/>
      <c r="C2" s="965"/>
      <c r="D2" s="994"/>
      <c r="F2" s="288"/>
    </row>
    <row r="3" spans="1:6" s="45" customFormat="1" ht="18.75">
      <c r="A3" s="988" t="s">
        <v>221</v>
      </c>
      <c r="B3" s="989"/>
      <c r="C3" s="989"/>
      <c r="D3" s="990"/>
      <c r="F3" s="288"/>
    </row>
    <row r="4" spans="1:6" s="45" customFormat="1" ht="18.75">
      <c r="A4" s="988" t="s">
        <v>320</v>
      </c>
      <c r="B4" s="989"/>
      <c r="C4" s="989"/>
      <c r="D4" s="990"/>
      <c r="F4" s="288"/>
    </row>
    <row r="5" spans="1:6" s="45" customFormat="1" ht="18.75">
      <c r="A5" s="988" t="str">
        <f>+'(9)Equity YTD4'!A4</f>
        <v>YTD PERIOD MARCH 31st, 2004</v>
      </c>
      <c r="B5" s="989"/>
      <c r="C5" s="989"/>
      <c r="D5" s="990"/>
      <c r="F5" s="288"/>
    </row>
    <row r="6" spans="1:6" s="18" customFormat="1" ht="15" customHeight="1">
      <c r="A6" s="417"/>
      <c r="B6" s="532"/>
      <c r="C6" s="532"/>
      <c r="D6" s="533"/>
      <c r="F6" s="22"/>
    </row>
    <row r="7" spans="1:6" s="18" customFormat="1" ht="15">
      <c r="A7" s="418" t="s">
        <v>321</v>
      </c>
      <c r="B7" s="534" t="str">
        <f>+'Earned Incurred QTD-5'!B8</f>
        <v>12-31-04</v>
      </c>
      <c r="C7" s="535"/>
      <c r="D7" s="536"/>
      <c r="F7" s="289" t="s">
        <v>365</v>
      </c>
    </row>
    <row r="8" spans="1:6" s="18" customFormat="1" ht="15">
      <c r="A8" s="418"/>
      <c r="B8" s="537" t="s">
        <v>18</v>
      </c>
      <c r="C8" s="538"/>
      <c r="D8" s="539"/>
      <c r="F8" s="290" t="s">
        <v>194</v>
      </c>
    </row>
    <row r="9" spans="1:6" s="18" customFormat="1" ht="15">
      <c r="A9" s="419"/>
      <c r="B9" s="540" t="s">
        <v>268</v>
      </c>
      <c r="C9" s="541"/>
      <c r="D9" s="542"/>
      <c r="F9" s="22"/>
    </row>
    <row r="10" spans="1:6" s="18" customFormat="1" ht="15">
      <c r="A10" s="420" t="s">
        <v>322</v>
      </c>
      <c r="B10" s="543"/>
      <c r="C10" s="480" t="e">
        <f>'(7)Premiums YTD8'!G12</f>
        <v>#REF!</v>
      </c>
      <c r="D10" s="544"/>
      <c r="E10" s="127">
        <v>16190670</v>
      </c>
      <c r="F10" s="22">
        <v>41000</v>
      </c>
    </row>
    <row r="11" spans="1:6" s="18" customFormat="1" ht="15">
      <c r="A11" s="420"/>
      <c r="B11" s="543"/>
      <c r="C11" s="479"/>
      <c r="D11" s="544"/>
      <c r="F11" s="22"/>
    </row>
    <row r="12" spans="1:6" s="18" customFormat="1" ht="14.25">
      <c r="A12" s="421" t="s">
        <v>323</v>
      </c>
      <c r="B12" s="521" t="e">
        <f>'(7)Premiums YTD8'!G18</f>
        <v>#REF!</v>
      </c>
      <c r="C12" s="122"/>
      <c r="D12" s="522"/>
      <c r="F12" s="22"/>
    </row>
    <row r="13" spans="1:6" s="18" customFormat="1" ht="14.25">
      <c r="A13" s="421" t="s">
        <v>342</v>
      </c>
      <c r="B13" s="523">
        <v>8897126</v>
      </c>
      <c r="C13" s="122"/>
      <c r="D13" s="522"/>
      <c r="F13" s="22"/>
    </row>
    <row r="14" spans="1:6" s="18" customFormat="1" ht="15" customHeight="1">
      <c r="A14" s="421" t="s">
        <v>343</v>
      </c>
      <c r="B14" s="521"/>
      <c r="C14" s="524" t="e">
        <f>B13-B12</f>
        <v>#REF!</v>
      </c>
      <c r="D14" s="522"/>
      <c r="F14" s="22">
        <v>41100</v>
      </c>
    </row>
    <row r="15" spans="1:6" s="18" customFormat="1" ht="15" customHeight="1">
      <c r="A15" s="420" t="s">
        <v>344</v>
      </c>
      <c r="B15" s="521"/>
      <c r="C15" s="122"/>
      <c r="D15" s="576" t="e">
        <f>C10+C14</f>
        <v>#REF!</v>
      </c>
      <c r="E15" s="127" t="e">
        <f>+'(7)Premiums YTD8'!G30</f>
        <v>#REF!</v>
      </c>
      <c r="F15" s="22"/>
    </row>
    <row r="16" spans="1:6" s="18" customFormat="1" ht="14.25">
      <c r="A16" s="421" t="s">
        <v>345</v>
      </c>
      <c r="B16" s="521"/>
      <c r="C16" s="122">
        <f>+'[1]TB03-31-04(Final)'!G384</f>
        <v>3791762.3499999996</v>
      </c>
      <c r="D16" s="522"/>
      <c r="F16" s="22" t="s">
        <v>366</v>
      </c>
    </row>
    <row r="17" spans="1:6" s="18" customFormat="1" ht="14.25">
      <c r="A17" s="421" t="s">
        <v>346</v>
      </c>
      <c r="B17" s="521"/>
      <c r="C17" s="524">
        <f>-'[1]TB03-31-04(Final)'!G405+1</f>
        <v>8001.969999999999</v>
      </c>
      <c r="D17" s="522"/>
      <c r="F17" s="22">
        <v>51108</v>
      </c>
    </row>
    <row r="18" spans="1:6" s="18" customFormat="1" ht="15">
      <c r="A18" s="420" t="s">
        <v>347</v>
      </c>
      <c r="B18" s="521"/>
      <c r="C18" s="122">
        <f>C16-C17</f>
        <v>3783760.3799999994</v>
      </c>
      <c r="D18" s="522"/>
      <c r="F18" s="22"/>
    </row>
    <row r="19" spans="1:6" s="18" customFormat="1" ht="14.25">
      <c r="A19" s="421" t="s">
        <v>348</v>
      </c>
      <c r="B19" s="521" t="e">
        <f>'(6)Losses Incurred YTD10'!H18</f>
        <v>#REF!</v>
      </c>
      <c r="C19" s="122" t="s">
        <v>268</v>
      </c>
      <c r="D19" s="522"/>
      <c r="F19" s="22"/>
    </row>
    <row r="20" spans="1:6" s="18" customFormat="1" ht="14.25">
      <c r="A20" s="421" t="s">
        <v>349</v>
      </c>
      <c r="B20" s="523">
        <v>5587477</v>
      </c>
      <c r="C20" s="122"/>
      <c r="D20" s="522"/>
      <c r="F20" s="22"/>
    </row>
    <row r="21" spans="1:6" s="18" customFormat="1" ht="14.25">
      <c r="A21" s="421" t="s">
        <v>350</v>
      </c>
      <c r="B21" s="526"/>
      <c r="C21" s="524" t="e">
        <f>B19-B20</f>
        <v>#REF!</v>
      </c>
      <c r="D21" s="522"/>
      <c r="F21" s="22" t="s">
        <v>367</v>
      </c>
    </row>
    <row r="22" spans="1:6" s="18" customFormat="1" ht="15">
      <c r="A22" s="420" t="s">
        <v>351</v>
      </c>
      <c r="B22" s="521"/>
      <c r="C22" s="122"/>
      <c r="D22" s="522" t="e">
        <f>C18+C21</f>
        <v>#REF!</v>
      </c>
      <c r="E22" s="48" t="e">
        <f>+'(6)Losses Incurred YTD10'!H30</f>
        <v>#REF!</v>
      </c>
      <c r="F22" s="22"/>
    </row>
    <row r="23" spans="1:6" s="18" customFormat="1" ht="14.25">
      <c r="A23" s="421" t="s">
        <v>352</v>
      </c>
      <c r="B23" s="521"/>
      <c r="C23" s="122">
        <f>+'[1]TB03-31-04(Final)'!G486</f>
        <v>292907.87</v>
      </c>
      <c r="D23" s="522"/>
      <c r="E23" s="109"/>
      <c r="F23" s="22">
        <v>51200</v>
      </c>
    </row>
    <row r="24" spans="1:6" s="18" customFormat="1" ht="14.25">
      <c r="A24" s="421" t="s">
        <v>353</v>
      </c>
      <c r="B24" s="521"/>
      <c r="C24" s="524">
        <f>+'[1]TB03-31-04(Final)'!G547</f>
        <v>139421.58999999997</v>
      </c>
      <c r="D24" s="522"/>
      <c r="F24" s="22">
        <v>51300</v>
      </c>
    </row>
    <row r="25" spans="1:6" s="18" customFormat="1" ht="15">
      <c r="A25" s="420" t="s">
        <v>354</v>
      </c>
      <c r="B25" s="521"/>
      <c r="C25" s="122">
        <f>C23+C24</f>
        <v>432329.45999999996</v>
      </c>
      <c r="D25" s="522"/>
      <c r="F25" s="22"/>
    </row>
    <row r="26" spans="1:6" s="18" customFormat="1" ht="14.25">
      <c r="A26" s="421" t="s">
        <v>355</v>
      </c>
      <c r="B26" s="521" t="e">
        <f>'(4)Loss Expenses YTD12'!H18</f>
        <v>#REF!</v>
      </c>
      <c r="C26" s="122"/>
      <c r="D26" s="522"/>
      <c r="F26" s="22"/>
    </row>
    <row r="27" spans="1:9" s="18" customFormat="1" ht="14.25">
      <c r="A27" s="421" t="s">
        <v>356</v>
      </c>
      <c r="B27" s="523">
        <v>474837</v>
      </c>
      <c r="C27" s="122"/>
      <c r="D27" s="522"/>
      <c r="F27" s="22"/>
      <c r="I27" s="122">
        <f>31050</f>
        <v>31050</v>
      </c>
    </row>
    <row r="28" spans="1:9" s="18" customFormat="1" ht="14.25">
      <c r="A28" s="421" t="s">
        <v>357</v>
      </c>
      <c r="B28" s="521"/>
      <c r="C28" s="524" t="e">
        <f>B26-B27</f>
        <v>#REF!</v>
      </c>
      <c r="D28" s="522"/>
      <c r="F28" s="22" t="s">
        <v>368</v>
      </c>
      <c r="I28" s="122">
        <f>20347.1</f>
        <v>20347.1</v>
      </c>
    </row>
    <row r="29" spans="1:9" s="18" customFormat="1" ht="15">
      <c r="A29" s="420" t="s">
        <v>358</v>
      </c>
      <c r="B29" s="521"/>
      <c r="C29" s="122"/>
      <c r="D29" s="525" t="e">
        <f>C25+C28</f>
        <v>#REF!</v>
      </c>
      <c r="E29" s="48" t="e">
        <f>+'(4)Loss Expenses YTD12'!H30</f>
        <v>#REF!</v>
      </c>
      <c r="F29" s="22"/>
      <c r="I29" s="122">
        <f>6478.27</f>
        <v>6478.27</v>
      </c>
    </row>
    <row r="30" spans="1:9" s="18" customFormat="1" ht="15">
      <c r="A30" s="420" t="s">
        <v>359</v>
      </c>
      <c r="B30" s="521"/>
      <c r="C30" s="122"/>
      <c r="D30" s="527" t="e">
        <f>D22+D29</f>
        <v>#REF!</v>
      </c>
      <c r="F30" s="22"/>
      <c r="I30" s="122">
        <f>23108.63</f>
        <v>23108.63</v>
      </c>
    </row>
    <row r="31" spans="1:9" s="18" customFormat="1" ht="14.25">
      <c r="A31" s="421" t="s">
        <v>360</v>
      </c>
      <c r="B31" s="521"/>
      <c r="C31" s="122">
        <f>23108.63+6478.27+20347.1+10350+20700+1200+600</f>
        <v>82784</v>
      </c>
      <c r="D31" s="522"/>
      <c r="F31" s="22"/>
      <c r="I31" s="122">
        <f>SUM(I27:I30)</f>
        <v>80984</v>
      </c>
    </row>
    <row r="32" spans="1:6" s="18" customFormat="1" ht="14.25">
      <c r="A32" s="421" t="s">
        <v>361</v>
      </c>
      <c r="B32" s="521">
        <f>+'Balance Sheet-1'!D36</f>
        <v>61013.43</v>
      </c>
      <c r="C32" s="122"/>
      <c r="D32" s="522"/>
      <c r="F32" s="22">
        <v>24000</v>
      </c>
    </row>
    <row r="33" spans="1:6" s="18" customFormat="1" ht="14.25">
      <c r="A33" s="421" t="s">
        <v>362</v>
      </c>
      <c r="B33" s="523">
        <v>46320</v>
      </c>
      <c r="C33" s="122" t="s">
        <v>268</v>
      </c>
      <c r="D33" s="522"/>
      <c r="F33" s="22"/>
    </row>
    <row r="34" spans="1:6" s="18" customFormat="1" ht="14.25">
      <c r="A34" s="421" t="s">
        <v>363</v>
      </c>
      <c r="B34" s="521"/>
      <c r="C34" s="524">
        <f>B32-B33</f>
        <v>14693.43</v>
      </c>
      <c r="D34" s="522"/>
      <c r="F34" s="22"/>
    </row>
    <row r="35" spans="1:6" s="18" customFormat="1" ht="14.25" hidden="1">
      <c r="A35" s="421"/>
      <c r="B35" s="521"/>
      <c r="C35" s="122"/>
      <c r="D35" s="522"/>
      <c r="F35" s="22"/>
    </row>
    <row r="36" spans="1:10" s="18" customFormat="1" ht="15" customHeight="1">
      <c r="A36" s="420" t="s">
        <v>364</v>
      </c>
      <c r="B36" s="521"/>
      <c r="C36" s="122" t="s">
        <v>268</v>
      </c>
      <c r="D36" s="522">
        <f>SUM(C31:C35)</f>
        <v>97477.43</v>
      </c>
      <c r="E36" s="253">
        <f>+'[1]TB03-31-04(Final)'!G644</f>
        <v>22313.94</v>
      </c>
      <c r="F36" s="22">
        <v>64000</v>
      </c>
      <c r="I36" s="18">
        <v>97598.57</v>
      </c>
      <c r="J36" s="114">
        <f>+D36-I36</f>
        <v>-121.14000000001397</v>
      </c>
    </row>
    <row r="37" spans="1:6" s="18" customFormat="1" ht="13.5" customHeight="1">
      <c r="A37" s="412" t="s">
        <v>100</v>
      </c>
      <c r="B37" s="521"/>
      <c r="C37" s="127"/>
      <c r="D37" s="528">
        <f>+'[1]TB03-31-04(Final)'!G630</f>
        <v>528557.35</v>
      </c>
      <c r="F37" s="22" t="s">
        <v>369</v>
      </c>
    </row>
    <row r="38" spans="1:6" s="18" customFormat="1" ht="13.5" customHeight="1">
      <c r="A38" s="412" t="s">
        <v>223</v>
      </c>
      <c r="B38" s="521"/>
      <c r="C38" s="122">
        <f>+'[1]TB03-31-04(Final)'!G635+'[1]TB03-31-04(Final)'!G639+'[1]TB03-31-04(Final)'!G647</f>
        <v>108491.93</v>
      </c>
      <c r="D38" s="522"/>
      <c r="F38" s="22" t="s">
        <v>370</v>
      </c>
    </row>
    <row r="39" spans="1:9" s="18" customFormat="1" ht="14.25">
      <c r="A39" s="412" t="s">
        <v>150</v>
      </c>
      <c r="B39" s="521"/>
      <c r="C39" s="572">
        <f>+'[1]TB03-31-04(Final)'!G1005-'(8)Earned Incurred YTD6'!C43</f>
        <v>995251.8099999997</v>
      </c>
      <c r="D39" s="522"/>
      <c r="E39" s="120"/>
      <c r="F39" s="22" t="s">
        <v>371</v>
      </c>
      <c r="I39" s="148"/>
    </row>
    <row r="40" spans="1:9" s="18" customFormat="1" ht="15">
      <c r="A40" s="411" t="s">
        <v>151</v>
      </c>
      <c r="B40" s="521"/>
      <c r="C40" s="573">
        <f>SUM(C38:C39)-1</f>
        <v>1103742.7399999998</v>
      </c>
      <c r="D40" s="522"/>
      <c r="E40" s="120"/>
      <c r="F40" s="22"/>
      <c r="I40" s="148"/>
    </row>
    <row r="41" spans="1:6" s="18" customFormat="1" ht="14.25">
      <c r="A41" s="412" t="s">
        <v>361</v>
      </c>
      <c r="B41" s="521">
        <f>-'[1]TB03-31-04(Final)'!G217</f>
        <v>330321.9</v>
      </c>
      <c r="C41" s="122"/>
      <c r="D41" s="522"/>
      <c r="F41" s="22"/>
    </row>
    <row r="42" spans="1:6" s="18" customFormat="1" ht="14.25">
      <c r="A42" s="412" t="s">
        <v>362</v>
      </c>
      <c r="B42" s="523">
        <v>356304</v>
      </c>
      <c r="C42" s="122" t="s">
        <v>268</v>
      </c>
      <c r="D42" s="522"/>
      <c r="F42" s="22"/>
    </row>
    <row r="43" spans="1:6" s="18" customFormat="1" ht="14.25">
      <c r="A43" s="412" t="s">
        <v>152</v>
      </c>
      <c r="B43" s="521"/>
      <c r="C43" s="524">
        <f>B41-B42</f>
        <v>-25982.099999999977</v>
      </c>
      <c r="D43" s="522"/>
      <c r="E43" s="238">
        <f>+C38+C39+C43</f>
        <v>1077761.6399999997</v>
      </c>
      <c r="F43" s="22"/>
    </row>
    <row r="44" spans="1:6" s="18" customFormat="1" ht="15">
      <c r="A44" s="411" t="s">
        <v>222</v>
      </c>
      <c r="B44" s="521"/>
      <c r="C44" s="122"/>
      <c r="D44" s="525">
        <f>SUM(C40:C43)+2</f>
        <v>1077762.6399999997</v>
      </c>
      <c r="E44" s="120"/>
      <c r="F44" s="22"/>
    </row>
    <row r="45" spans="1:6" s="18" customFormat="1" ht="15">
      <c r="A45" s="411" t="s">
        <v>153</v>
      </c>
      <c r="B45" s="521"/>
      <c r="C45" s="122"/>
      <c r="D45" s="571">
        <f>SUM(D36:D44)</f>
        <v>1703797.4199999997</v>
      </c>
      <c r="E45" s="120"/>
      <c r="F45" s="22"/>
    </row>
    <row r="46" spans="1:10" s="18" customFormat="1" ht="30">
      <c r="A46" s="411" t="s">
        <v>154</v>
      </c>
      <c r="B46" s="521"/>
      <c r="C46" s="122"/>
      <c r="D46" s="529" t="e">
        <f>SUM(D30:D44)</f>
        <v>#REF!</v>
      </c>
      <c r="F46" s="22"/>
      <c r="I46" s="18">
        <v>22008562.28</v>
      </c>
      <c r="J46" s="114" t="e">
        <f>+D46-I46</f>
        <v>#REF!</v>
      </c>
    </row>
    <row r="47" spans="1:6" s="18" customFormat="1" ht="15">
      <c r="A47" s="420" t="s">
        <v>22</v>
      </c>
      <c r="B47" s="521"/>
      <c r="C47" s="122"/>
      <c r="D47" s="613" t="e">
        <f>D15-D46</f>
        <v>#REF!</v>
      </c>
      <c r="F47" s="22"/>
    </row>
    <row r="48" spans="1:6" s="18" customFormat="1" ht="14.25">
      <c r="A48" s="421" t="s">
        <v>203</v>
      </c>
      <c r="B48" s="521"/>
      <c r="C48" s="122">
        <f>-'[1]TB03-31-04(Final)'!G356-'[1]TB03-31-04(Final)'!G343-'[1]TB03-31-04(Final)'!F347+'(8)Earned Incurred YTD6'!B50</f>
        <v>44581.64</v>
      </c>
      <c r="D48" s="522"/>
      <c r="F48" s="22" t="s">
        <v>373</v>
      </c>
    </row>
    <row r="49" spans="1:6" s="18" customFormat="1" ht="14.25">
      <c r="A49" s="421" t="s">
        <v>378</v>
      </c>
      <c r="B49" s="521">
        <f>+'[1]TB03-31-04(Final)'!G25</f>
        <v>10038.47</v>
      </c>
      <c r="C49" s="122"/>
      <c r="D49" s="522"/>
      <c r="F49" s="22">
        <v>12150</v>
      </c>
    </row>
    <row r="50" spans="1:6" s="18" customFormat="1" ht="14.25">
      <c r="A50" s="421" t="s">
        <v>379</v>
      </c>
      <c r="B50" s="523">
        <v>17084</v>
      </c>
      <c r="C50" s="122" t="s">
        <v>268</v>
      </c>
      <c r="D50" s="522"/>
      <c r="F50" s="22"/>
    </row>
    <row r="51" spans="1:6" s="18" customFormat="1" ht="15">
      <c r="A51" s="421" t="s">
        <v>380</v>
      </c>
      <c r="B51" s="521"/>
      <c r="C51" s="524">
        <f>B49-B50</f>
        <v>-7045.530000000001</v>
      </c>
      <c r="D51" s="527"/>
      <c r="F51" s="22"/>
    </row>
    <row r="52" spans="1:9" s="18" customFormat="1" ht="15">
      <c r="A52" s="420" t="s">
        <v>204</v>
      </c>
      <c r="B52" s="521"/>
      <c r="C52" s="122"/>
      <c r="D52" s="531">
        <f>C48+C51</f>
        <v>37536.11</v>
      </c>
      <c r="E52" s="253">
        <f>+'[1]TB03-31-04(Final)'!G348</f>
        <v>-29950.73</v>
      </c>
      <c r="F52" s="22" t="s">
        <v>372</v>
      </c>
      <c r="I52" s="148"/>
    </row>
    <row r="53" spans="1:10" s="18" customFormat="1" ht="15">
      <c r="A53" s="422"/>
      <c r="B53" s="543"/>
      <c r="C53" s="359"/>
      <c r="D53" s="547"/>
      <c r="F53" s="22"/>
      <c r="J53" s="114"/>
    </row>
    <row r="54" spans="1:9" s="18" customFormat="1" ht="15">
      <c r="A54" s="423" t="s">
        <v>23</v>
      </c>
      <c r="B54" s="545"/>
      <c r="C54" s="546"/>
      <c r="D54" s="548" t="e">
        <f>D47+D52</f>
        <v>#REF!</v>
      </c>
      <c r="F54" s="22" t="s">
        <v>24</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6"/>
      <c r="C56" s="496"/>
      <c r="D56" s="496" t="e">
        <f>+D54+D55</f>
        <v>#REF!</v>
      </c>
      <c r="E56" s="120" t="e">
        <f>+#REF!+D56</f>
        <v>#REF!</v>
      </c>
      <c r="F56" s="22"/>
      <c r="I56" s="114"/>
      <c r="J56" s="114"/>
    </row>
    <row r="57" spans="1:10" s="18" customFormat="1" ht="14.25">
      <c r="A57" s="985"/>
      <c r="B57" s="986"/>
      <c r="C57" s="986"/>
      <c r="D57" s="986"/>
      <c r="F57" s="22"/>
      <c r="J57" s="114"/>
    </row>
    <row r="58" spans="1:6" s="18" customFormat="1" ht="15">
      <c r="A58" s="144"/>
      <c r="B58" s="549"/>
      <c r="C58" s="550"/>
      <c r="D58" s="550"/>
      <c r="F58" s="22"/>
    </row>
    <row r="59" spans="1:6" s="18" customFormat="1" ht="15">
      <c r="A59" s="987" t="s">
        <v>75</v>
      </c>
      <c r="B59" s="987"/>
      <c r="C59" s="987"/>
      <c r="D59" s="550"/>
      <c r="F59" s="22"/>
    </row>
    <row r="60" spans="1:6" s="18" customFormat="1" ht="15">
      <c r="A60" s="47"/>
      <c r="B60" s="496"/>
      <c r="C60" s="551"/>
      <c r="D60" s="551"/>
      <c r="F60" s="22"/>
    </row>
    <row r="61" spans="1:6" s="18" customFormat="1" ht="15">
      <c r="A61" s="47"/>
      <c r="B61" s="496"/>
      <c r="C61" s="551"/>
      <c r="D61" s="551"/>
      <c r="F61" s="22"/>
    </row>
    <row r="62" spans="1:6" s="18" customFormat="1" ht="15">
      <c r="A62" s="47"/>
      <c r="B62" s="496"/>
      <c r="C62" s="551"/>
      <c r="D62" s="551"/>
      <c r="F62" s="22"/>
    </row>
    <row r="63" spans="1:6" s="18" customFormat="1" ht="15">
      <c r="A63" s="47"/>
      <c r="B63" s="496"/>
      <c r="C63" s="551"/>
      <c r="D63" s="551"/>
      <c r="F63" s="22"/>
    </row>
    <row r="64" spans="1:6" s="18" customFormat="1" ht="15">
      <c r="A64" s="115"/>
      <c r="B64" s="496"/>
      <c r="C64" s="552"/>
      <c r="D64" s="552"/>
      <c r="F64" s="22"/>
    </row>
    <row r="65" spans="1:6" s="18" customFormat="1" ht="15">
      <c r="A65" s="115"/>
      <c r="B65" s="359"/>
      <c r="C65" s="552"/>
      <c r="D65" s="552"/>
      <c r="F65" s="22"/>
    </row>
    <row r="66" spans="1:6" s="18" customFormat="1" ht="15">
      <c r="A66" s="115"/>
      <c r="B66" s="496"/>
      <c r="C66" s="552"/>
      <c r="D66" s="552"/>
      <c r="F66" s="22"/>
    </row>
    <row r="67" spans="1:6" s="18" customFormat="1" ht="15">
      <c r="A67" s="115"/>
      <c r="B67" s="496"/>
      <c r="C67" s="552"/>
      <c r="D67" s="552"/>
      <c r="F67" s="22"/>
    </row>
    <row r="68" spans="2:6" s="18" customFormat="1" ht="15">
      <c r="B68" s="496"/>
      <c r="C68" s="552"/>
      <c r="D68" s="552"/>
      <c r="F68" s="22"/>
    </row>
    <row r="69" spans="1:6" s="18" customFormat="1" ht="15">
      <c r="A69" s="115"/>
      <c r="B69" s="496"/>
      <c r="C69" s="552"/>
      <c r="D69" s="496"/>
      <c r="F69" s="22"/>
    </row>
    <row r="70" spans="1:6" s="18" customFormat="1" ht="15">
      <c r="A70" s="115"/>
      <c r="B70" s="496"/>
      <c r="C70" s="552"/>
      <c r="D70" s="496"/>
      <c r="F70" s="22"/>
    </row>
    <row r="71" spans="1:6" s="18" customFormat="1" ht="15">
      <c r="A71" s="121"/>
      <c r="B71" s="496"/>
      <c r="C71" s="552"/>
      <c r="D71" s="496"/>
      <c r="F71" s="22"/>
    </row>
    <row r="72" spans="1:6" s="18" customFormat="1" ht="15">
      <c r="A72" s="115"/>
      <c r="B72" s="359"/>
      <c r="C72" s="552"/>
      <c r="D72" s="553"/>
      <c r="F72" s="22"/>
    </row>
    <row r="73" spans="1:6" s="18" customFormat="1" ht="15">
      <c r="A73" s="115"/>
      <c r="B73" s="552"/>
      <c r="C73" s="554"/>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6"/>
      <c r="C85" s="359"/>
      <c r="D85" s="496"/>
      <c r="F85" s="22"/>
    </row>
    <row r="86" spans="1:6" s="18" customFormat="1" ht="14.25">
      <c r="A86" s="47"/>
      <c r="B86" s="496"/>
      <c r="C86" s="496"/>
      <c r="D86" s="496"/>
      <c r="F86" s="22"/>
    </row>
    <row r="87" spans="1:6" s="18" customFormat="1" ht="14.25">
      <c r="A87" s="47"/>
      <c r="B87" s="496"/>
      <c r="C87" s="496"/>
      <c r="D87" s="496"/>
      <c r="F87" s="22"/>
    </row>
    <row r="88" spans="1:6" s="18" customFormat="1" ht="14.25">
      <c r="A88" s="47"/>
      <c r="B88" s="496"/>
      <c r="C88" s="496"/>
      <c r="D88" s="496"/>
      <c r="F88" s="22"/>
    </row>
    <row r="89" spans="1:6" s="18" customFormat="1" ht="14.25">
      <c r="A89" s="47"/>
      <c r="B89" s="496"/>
      <c r="C89" s="496"/>
      <c r="D89" s="496"/>
      <c r="F89" s="22"/>
    </row>
    <row r="90" spans="1:6" s="18" customFormat="1" ht="14.25">
      <c r="A90" s="47"/>
      <c r="B90" s="496"/>
      <c r="C90" s="496"/>
      <c r="D90" s="496"/>
      <c r="F90" s="22"/>
    </row>
    <row r="91" spans="1:6" s="18" customFormat="1" ht="14.25">
      <c r="A91" s="47"/>
      <c r="B91" s="496"/>
      <c r="C91" s="496"/>
      <c r="D91" s="496"/>
      <c r="F91" s="22"/>
    </row>
    <row r="92" spans="1:6" s="18" customFormat="1" ht="14.25">
      <c r="A92" s="47"/>
      <c r="B92" s="496"/>
      <c r="C92" s="496"/>
      <c r="D92" s="496"/>
      <c r="F92" s="22"/>
    </row>
    <row r="93" spans="1:6" s="18" customFormat="1" ht="14.25">
      <c r="A93" s="47"/>
      <c r="B93" s="496"/>
      <c r="C93" s="496"/>
      <c r="D93" s="496"/>
      <c r="F93" s="22"/>
    </row>
    <row r="94" spans="1:6" s="18" customFormat="1" ht="14.25">
      <c r="A94" s="47"/>
      <c r="B94" s="496"/>
      <c r="C94" s="496"/>
      <c r="D94" s="496"/>
      <c r="F94" s="22"/>
    </row>
    <row r="95" spans="1:6" s="18" customFormat="1" ht="14.25">
      <c r="A95" s="47"/>
      <c r="B95" s="496"/>
      <c r="C95" s="496"/>
      <c r="D95" s="496"/>
      <c r="F95" s="22"/>
    </row>
    <row r="96" spans="1:6" s="18" customFormat="1" ht="14.25">
      <c r="A96" s="47"/>
      <c r="B96" s="496"/>
      <c r="C96" s="496"/>
      <c r="D96" s="496"/>
      <c r="F96" s="22"/>
    </row>
    <row r="97" spans="1:6" s="18" customFormat="1" ht="14.25">
      <c r="A97" s="47"/>
      <c r="B97" s="496"/>
      <c r="C97" s="496"/>
      <c r="D97" s="496"/>
      <c r="F97" s="22"/>
    </row>
    <row r="98" spans="1:6" s="18" customFormat="1" ht="14.25">
      <c r="A98" s="47"/>
      <c r="B98" s="496"/>
      <c r="C98" s="496"/>
      <c r="D98" s="496"/>
      <c r="F98" s="22"/>
    </row>
    <row r="99" spans="1:6" s="18" customFormat="1" ht="14.25">
      <c r="A99" s="47"/>
      <c r="B99" s="496"/>
      <c r="C99" s="496"/>
      <c r="D99" s="496"/>
      <c r="F99" s="22"/>
    </row>
    <row r="100" spans="1:6" s="18" customFormat="1" ht="14.25">
      <c r="A100" s="47"/>
      <c r="B100" s="496"/>
      <c r="C100" s="496"/>
      <c r="D100" s="496"/>
      <c r="F100" s="22"/>
    </row>
    <row r="101" spans="1:6" s="18" customFormat="1" ht="14.25">
      <c r="A101" s="47"/>
      <c r="B101" s="496"/>
      <c r="C101" s="496"/>
      <c r="D101" s="496"/>
      <c r="F101" s="22"/>
    </row>
    <row r="102" spans="1:6" s="18" customFormat="1" ht="14.25">
      <c r="A102" s="47"/>
      <c r="B102" s="496"/>
      <c r="C102" s="496"/>
      <c r="D102" s="496"/>
      <c r="F102" s="22"/>
    </row>
    <row r="103" spans="1:6" s="18" customFormat="1" ht="14.25">
      <c r="A103" s="47"/>
      <c r="B103" s="496"/>
      <c r="C103" s="496"/>
      <c r="D103" s="496"/>
      <c r="F103" s="22"/>
    </row>
    <row r="104" spans="1:6" s="18" customFormat="1" ht="14.25">
      <c r="A104" s="47"/>
      <c r="B104" s="496"/>
      <c r="C104" s="496"/>
      <c r="D104" s="496"/>
      <c r="F104" s="22"/>
    </row>
    <row r="105" spans="1:6" s="18" customFormat="1" ht="14.25">
      <c r="A105" s="47"/>
      <c r="B105" s="555"/>
      <c r="C105" s="496"/>
      <c r="D105" s="555"/>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603" customWidth="1"/>
    <col min="9" max="9" width="11.421875" style="2" bestFit="1" customWidth="1"/>
    <col min="10" max="16384" width="9.140625" style="2" customWidth="1"/>
  </cols>
  <sheetData>
    <row r="1" spans="1:8" s="257" customFormat="1" ht="25.5">
      <c r="A1" s="438" t="s">
        <v>258</v>
      </c>
      <c r="B1" s="438"/>
      <c r="C1" s="438"/>
      <c r="D1" s="438"/>
      <c r="E1" s="438"/>
      <c r="F1" s="438"/>
      <c r="G1" s="439"/>
      <c r="H1" s="600"/>
    </row>
    <row r="2" spans="1:8" s="98" customFormat="1" ht="18" customHeight="1">
      <c r="A2" s="440"/>
      <c r="B2" s="441"/>
      <c r="C2" s="441"/>
      <c r="D2" s="441"/>
      <c r="E2" s="441"/>
      <c r="F2" s="441"/>
      <c r="G2" s="442"/>
      <c r="H2" s="601"/>
    </row>
    <row r="3" spans="1:8" s="98" customFormat="1" ht="18" customHeight="1">
      <c r="A3" s="443" t="s">
        <v>381</v>
      </c>
      <c r="B3" s="443"/>
      <c r="C3" s="443"/>
      <c r="D3" s="443"/>
      <c r="E3" s="443"/>
      <c r="F3" s="443"/>
      <c r="G3" s="442"/>
      <c r="H3" s="601"/>
    </row>
    <row r="4" spans="1:8" s="14" customFormat="1" ht="15">
      <c r="A4" s="443" t="str">
        <f>+'(8)Earned Incurred YTD6'!A5:D5</f>
        <v>YTD PERIOD MARCH 31st, 2004</v>
      </c>
      <c r="B4" s="443"/>
      <c r="C4" s="443"/>
      <c r="D4" s="443"/>
      <c r="E4" s="443"/>
      <c r="F4" s="443"/>
      <c r="G4" s="442"/>
      <c r="H4" s="602"/>
    </row>
    <row r="5" spans="1:8" s="14" customFormat="1" ht="15">
      <c r="A5" s="443"/>
      <c r="B5" s="443"/>
      <c r="C5" s="443"/>
      <c r="D5" s="443"/>
      <c r="E5" s="443"/>
      <c r="F5" s="443"/>
      <c r="G5" s="442"/>
      <c r="H5" s="602"/>
    </row>
    <row r="6" spans="1:8" s="14" customFormat="1" ht="15.75">
      <c r="A6" s="444"/>
      <c r="B6" s="444"/>
      <c r="C6" s="444"/>
      <c r="D6" s="444"/>
      <c r="E6" s="444"/>
      <c r="F6" s="444"/>
      <c r="G6" s="444"/>
      <c r="H6" s="602"/>
    </row>
    <row r="7" spans="1:8" s="14" customFormat="1" ht="30">
      <c r="A7" s="445"/>
      <c r="B7" s="446" t="s">
        <v>42</v>
      </c>
      <c r="C7" s="446" t="s">
        <v>46</v>
      </c>
      <c r="D7" s="446" t="s">
        <v>147</v>
      </c>
      <c r="E7" s="446" t="s">
        <v>220</v>
      </c>
      <c r="F7" s="446" t="s">
        <v>98</v>
      </c>
      <c r="G7" s="447" t="s">
        <v>259</v>
      </c>
      <c r="H7" s="602"/>
    </row>
    <row r="8" spans="1:7" ht="15.75">
      <c r="A8" s="448" t="s">
        <v>382</v>
      </c>
      <c r="B8" s="449"/>
      <c r="C8" s="449"/>
      <c r="D8" s="449"/>
      <c r="E8" s="449"/>
      <c r="F8" s="449"/>
      <c r="G8" s="449"/>
    </row>
    <row r="9" spans="1:8" s="99" customFormat="1" ht="15">
      <c r="A9" s="449" t="s">
        <v>451</v>
      </c>
      <c r="B9" s="475">
        <f>-SUM('[1]TB03-31-04(Final)'!F297)</f>
        <v>91475</v>
      </c>
      <c r="C9" s="475">
        <f>-SUM('[1]TB03-31-04(Final)'!F296)</f>
        <v>-3288</v>
      </c>
      <c r="D9" s="475">
        <f>-SUM('[1]TB03-31-04(Final)'!F295)</f>
        <v>0</v>
      </c>
      <c r="E9" s="561">
        <f>-SUM('[1]TB03-31-04(Final)'!F294)</f>
        <v>0</v>
      </c>
      <c r="F9" s="126">
        <f>-SUM('[1]TB03-31-04(Final)'!F293)</f>
        <v>0</v>
      </c>
      <c r="G9" s="556">
        <f>SUM(B9:F9)</f>
        <v>88187</v>
      </c>
      <c r="H9" s="604"/>
    </row>
    <row r="10" spans="1:8" ht="15.75">
      <c r="A10" s="449" t="s">
        <v>396</v>
      </c>
      <c r="B10" s="126">
        <f>-SUM('[1]TB03-31-04(Final)'!F306)</f>
        <v>27184</v>
      </c>
      <c r="C10" s="126">
        <f>-SUM('[1]TB03-31-04(Final)'!F305)</f>
        <v>-791</v>
      </c>
      <c r="D10" s="126">
        <f>-SUM('[1]TB03-31-04(Final)'!F304)</f>
        <v>0</v>
      </c>
      <c r="E10" s="126">
        <f>-SUM('[1]TB03-31-04(Final)'!F303)</f>
        <v>0</v>
      </c>
      <c r="F10" s="126">
        <f>-SUM('[1]TB03-31-04(Final)'!F302)</f>
        <v>0</v>
      </c>
      <c r="G10" s="559">
        <f>SUM(B10:F10)</f>
        <v>26393</v>
      </c>
      <c r="H10" s="604"/>
    </row>
    <row r="11" spans="1:22" ht="15.75">
      <c r="A11" s="449" t="s">
        <v>397</v>
      </c>
      <c r="B11" s="126">
        <f>-'[1]TB03-31-04(Final)'!F315</f>
        <v>-19</v>
      </c>
      <c r="C11" s="126">
        <f>-'[1]TB03-31-04(Final)'!F314</f>
        <v>1</v>
      </c>
      <c r="D11" s="126">
        <v>0</v>
      </c>
      <c r="E11" s="126" t="e">
        <f>-'[1]TB03-31-04(Final)'!F310</f>
        <v>#REF!</v>
      </c>
      <c r="F11" s="126" t="e">
        <f>-'[1]TB03-31-04(Final)'!F311</f>
        <v>#REF!</v>
      </c>
      <c r="G11" s="562" t="e">
        <f>SUM(B11:F11)</f>
        <v>#REF!</v>
      </c>
      <c r="H11" s="604"/>
      <c r="I11" s="100"/>
      <c r="J11" s="100"/>
      <c r="K11" s="100"/>
      <c r="L11" s="100"/>
      <c r="M11" s="100"/>
      <c r="N11" s="100"/>
      <c r="O11" s="100"/>
      <c r="P11" s="100"/>
      <c r="Q11" s="100"/>
      <c r="R11" s="100"/>
      <c r="S11" s="100"/>
      <c r="T11" s="100"/>
      <c r="U11" s="100"/>
      <c r="V11" s="100"/>
    </row>
    <row r="12" spans="1:22" s="4" customFormat="1" ht="16.5" thickBot="1">
      <c r="A12" s="450" t="s">
        <v>386</v>
      </c>
      <c r="B12" s="138">
        <f aca="true" t="shared" si="0" ref="B12:G12">SUM(B9:B11)</f>
        <v>118640</v>
      </c>
      <c r="C12" s="138">
        <f t="shared" si="0"/>
        <v>-4078</v>
      </c>
      <c r="D12" s="138">
        <f t="shared" si="0"/>
        <v>0</v>
      </c>
      <c r="E12" s="138" t="e">
        <f t="shared" si="0"/>
        <v>#REF!</v>
      </c>
      <c r="F12" s="138" t="e">
        <f t="shared" si="0"/>
        <v>#REF!</v>
      </c>
      <c r="G12" s="560"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175</v>
      </c>
      <c r="B14" s="563"/>
      <c r="C14" s="563"/>
      <c r="D14" s="563"/>
      <c r="E14" s="563"/>
      <c r="F14" s="126"/>
      <c r="G14" s="126"/>
      <c r="H14" s="605"/>
      <c r="I14" s="88"/>
      <c r="J14" s="88"/>
      <c r="K14" s="88"/>
      <c r="L14" s="88"/>
      <c r="M14" s="88"/>
      <c r="N14" s="88"/>
      <c r="O14" s="88"/>
      <c r="P14" s="88"/>
      <c r="Q14" s="88"/>
      <c r="R14" s="88"/>
      <c r="S14" s="88"/>
      <c r="T14" s="88"/>
      <c r="U14" s="88"/>
      <c r="V14" s="88"/>
    </row>
    <row r="15" spans="1:22" s="4" customFormat="1" ht="15.75">
      <c r="A15" s="449" t="s">
        <v>451</v>
      </c>
      <c r="B15" s="126">
        <f>-'[1]TB03-31-04(Final)'!F51</f>
        <v>4674519</v>
      </c>
      <c r="C15" s="126">
        <f>-'[1]TB03-31-04(Final)'!F50</f>
        <v>0</v>
      </c>
      <c r="D15" s="126">
        <f>-'[1]TB03-31-04(Final)'!F49</f>
        <v>0</v>
      </c>
      <c r="E15" s="126" t="e">
        <f>-'[1]TB03-31-04(Final)'!F48</f>
        <v>#REF!</v>
      </c>
      <c r="F15" s="126">
        <v>0</v>
      </c>
      <c r="G15" s="559" t="e">
        <f>SUM(B15:F15)</f>
        <v>#REF!</v>
      </c>
      <c r="H15" s="301"/>
      <c r="I15" s="88"/>
      <c r="J15" s="88"/>
      <c r="K15" s="88"/>
      <c r="L15" s="88"/>
      <c r="M15" s="88"/>
      <c r="N15" s="88"/>
      <c r="O15" s="88"/>
      <c r="P15" s="88"/>
      <c r="Q15" s="88"/>
      <c r="R15" s="88"/>
      <c r="S15" s="88"/>
      <c r="T15" s="88"/>
      <c r="U15" s="88"/>
      <c r="V15" s="88"/>
    </row>
    <row r="16" spans="1:22" s="4" customFormat="1" ht="16.5" customHeight="1">
      <c r="A16" s="449" t="s">
        <v>396</v>
      </c>
      <c r="B16" s="126">
        <f>-'[1]TB03-31-04(Final)'!F57</f>
        <v>1490507</v>
      </c>
      <c r="C16" s="126">
        <f>-'[1]TB03-31-04(Final)'!F56</f>
        <v>0</v>
      </c>
      <c r="D16" s="126">
        <f>-'[1]TB03-31-04(Final)'!F55</f>
        <v>0</v>
      </c>
      <c r="E16" s="126" t="e">
        <f>-'[1]TB03-31-04(Final)'!F54</f>
        <v>#REF!</v>
      </c>
      <c r="F16" s="126" t="e">
        <f>-'[1]TB03-31-04(Final)'!F53</f>
        <v>#REF!</v>
      </c>
      <c r="G16" s="559" t="e">
        <f>SUM(B16:F16)</f>
        <v>#REF!</v>
      </c>
      <c r="H16" s="301"/>
      <c r="I16" s="88"/>
      <c r="J16" s="88"/>
      <c r="K16" s="88"/>
      <c r="L16" s="88"/>
      <c r="M16" s="88"/>
      <c r="N16" s="88"/>
      <c r="O16" s="88"/>
      <c r="P16" s="88"/>
      <c r="Q16" s="88"/>
      <c r="R16" s="88"/>
      <c r="S16" s="88"/>
      <c r="T16" s="88"/>
      <c r="U16" s="88"/>
      <c r="V16" s="88"/>
    </row>
    <row r="17" spans="1:22" s="4" customFormat="1" ht="15.75">
      <c r="A17" s="449" t="s">
        <v>397</v>
      </c>
      <c r="B17" s="126">
        <f>-'[1]TB03-31-04(Final)'!F63</f>
        <v>19657</v>
      </c>
      <c r="C17" s="126">
        <f>-'[1]TB03-31-04(Final)'!F62</f>
        <v>0</v>
      </c>
      <c r="D17" s="126">
        <f>-'[1]TB03-31-04(Final)'!F61</f>
        <v>0</v>
      </c>
      <c r="E17" s="126" t="e">
        <f>-'[1]TB03-31-04(Final)'!F60</f>
        <v>#REF!</v>
      </c>
      <c r="F17" s="126" t="e">
        <f>-'[1]TB03-31-04(Final)'!F59</f>
        <v>#REF!</v>
      </c>
      <c r="G17" s="559" t="e">
        <f>SUM(B17:F17)</f>
        <v>#REF!</v>
      </c>
      <c r="H17" s="301"/>
      <c r="I17" s="88"/>
      <c r="J17" s="88"/>
      <c r="K17" s="88"/>
      <c r="L17" s="88"/>
      <c r="M17" s="88"/>
      <c r="N17" s="88"/>
      <c r="O17" s="88"/>
      <c r="P17" s="88"/>
      <c r="Q17" s="88"/>
      <c r="R17" s="88"/>
      <c r="S17" s="88"/>
      <c r="T17" s="88"/>
      <c r="U17" s="88"/>
      <c r="V17" s="88"/>
    </row>
    <row r="18" spans="1:22" s="4" customFormat="1" ht="16.5" thickBot="1">
      <c r="A18" s="450" t="s">
        <v>386</v>
      </c>
      <c r="B18" s="138">
        <f aca="true" t="shared" si="1" ref="B18:G18">SUM(B15:B17)</f>
        <v>6184683</v>
      </c>
      <c r="C18" s="138">
        <f t="shared" si="1"/>
        <v>0</v>
      </c>
      <c r="D18" s="138">
        <f t="shared" si="1"/>
        <v>0</v>
      </c>
      <c r="E18" s="138" t="e">
        <f t="shared" si="1"/>
        <v>#REF!</v>
      </c>
      <c r="F18" s="138" t="e">
        <f t="shared" si="1"/>
        <v>#REF!</v>
      </c>
      <c r="G18" s="560"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209</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451</v>
      </c>
      <c r="B21" s="126">
        <v>0</v>
      </c>
      <c r="C21" s="126">
        <v>6494180</v>
      </c>
      <c r="D21" s="126">
        <v>0</v>
      </c>
      <c r="E21" s="126">
        <v>0</v>
      </c>
      <c r="F21" s="126">
        <v>0</v>
      </c>
      <c r="G21" s="559">
        <f>SUM(B21:F21)</f>
        <v>6494180</v>
      </c>
      <c r="H21" s="301"/>
      <c r="I21" s="88"/>
      <c r="J21" s="88"/>
      <c r="K21" s="88"/>
      <c r="L21" s="88"/>
      <c r="M21" s="88"/>
      <c r="N21" s="88"/>
      <c r="O21" s="88"/>
      <c r="P21" s="88"/>
      <c r="Q21" s="88"/>
      <c r="R21" s="88"/>
      <c r="S21" s="88"/>
      <c r="T21" s="88"/>
      <c r="U21" s="88"/>
      <c r="V21" s="88"/>
    </row>
    <row r="22" spans="1:22" s="4" customFormat="1" ht="15.75">
      <c r="A22" s="449" t="s">
        <v>396</v>
      </c>
      <c r="B22" s="126">
        <v>0</v>
      </c>
      <c r="C22" s="126">
        <v>2362142</v>
      </c>
      <c r="D22" s="126">
        <v>0</v>
      </c>
      <c r="E22" s="126">
        <v>0</v>
      </c>
      <c r="F22" s="126">
        <v>0</v>
      </c>
      <c r="G22" s="559">
        <f>SUM(B22:F22)</f>
        <v>2362142</v>
      </c>
      <c r="H22" s="301"/>
      <c r="I22" s="88"/>
      <c r="J22" s="88"/>
      <c r="K22" s="88"/>
      <c r="L22" s="88"/>
      <c r="M22" s="88"/>
      <c r="N22" s="88"/>
      <c r="O22" s="88"/>
      <c r="P22" s="88"/>
      <c r="Q22" s="88"/>
      <c r="R22" s="88"/>
      <c r="S22" s="88"/>
      <c r="T22" s="88"/>
      <c r="U22" s="88"/>
      <c r="V22" s="88"/>
    </row>
    <row r="23" spans="1:22" s="4" customFormat="1" ht="15.75">
      <c r="A23" s="449" t="s">
        <v>397</v>
      </c>
      <c r="B23" s="126">
        <v>0</v>
      </c>
      <c r="C23" s="126">
        <v>40804</v>
      </c>
      <c r="D23" s="126">
        <v>0</v>
      </c>
      <c r="E23" s="126">
        <v>0</v>
      </c>
      <c r="F23" s="126">
        <v>0</v>
      </c>
      <c r="G23" s="559">
        <f>SUM(B23:F23)</f>
        <v>40804</v>
      </c>
      <c r="H23" s="301"/>
      <c r="I23" s="88"/>
      <c r="J23" s="88"/>
      <c r="K23" s="88"/>
      <c r="L23" s="88"/>
      <c r="M23" s="88"/>
      <c r="N23" s="88"/>
      <c r="O23" s="88"/>
      <c r="P23" s="88"/>
      <c r="Q23" s="88"/>
      <c r="R23" s="88"/>
      <c r="S23" s="88"/>
      <c r="T23" s="88"/>
      <c r="U23" s="88"/>
      <c r="V23" s="88"/>
    </row>
    <row r="24" spans="1:22" s="4" customFormat="1" ht="16.5" thickBot="1">
      <c r="A24" s="450" t="s">
        <v>386</v>
      </c>
      <c r="B24" s="138">
        <f aca="true" t="shared" si="2" ref="B24:G24">SUM(B21:B23)</f>
        <v>0</v>
      </c>
      <c r="C24" s="138">
        <f t="shared" si="2"/>
        <v>8897126</v>
      </c>
      <c r="D24" s="138">
        <f t="shared" si="2"/>
        <v>0</v>
      </c>
      <c r="E24" s="138">
        <f t="shared" si="2"/>
        <v>0</v>
      </c>
      <c r="F24" s="138">
        <f t="shared" si="2"/>
        <v>0</v>
      </c>
      <c r="G24" s="560">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387</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408</v>
      </c>
      <c r="B27" s="488">
        <f aca="true" t="shared" si="3" ref="B27:D29">B9-(B15-B21)</f>
        <v>-4583044</v>
      </c>
      <c r="C27" s="488">
        <f>C9-(C15-C21)</f>
        <v>6490892</v>
      </c>
      <c r="D27" s="488">
        <f t="shared" si="3"/>
        <v>0</v>
      </c>
      <c r="E27" s="126" t="e">
        <f aca="true" t="shared" si="4" ref="E27:F29">E9-(E15-E21)</f>
        <v>#REF!</v>
      </c>
      <c r="F27" s="488">
        <f t="shared" si="4"/>
        <v>0</v>
      </c>
      <c r="G27" s="559" t="e">
        <f>SUM(B27:F27)</f>
        <v>#REF!</v>
      </c>
      <c r="H27" s="301"/>
      <c r="I27" s="88"/>
      <c r="J27" s="88"/>
      <c r="K27" s="88"/>
      <c r="L27" s="88"/>
      <c r="M27" s="88"/>
      <c r="N27" s="88"/>
      <c r="O27" s="88"/>
      <c r="P27" s="88"/>
      <c r="Q27" s="88"/>
      <c r="R27" s="88"/>
      <c r="S27" s="88"/>
      <c r="T27" s="88"/>
      <c r="U27" s="88"/>
      <c r="V27" s="88"/>
    </row>
    <row r="28" spans="1:22" s="4" customFormat="1" ht="15.75">
      <c r="A28" s="449" t="s">
        <v>16</v>
      </c>
      <c r="B28" s="488">
        <f t="shared" si="3"/>
        <v>-1463323</v>
      </c>
      <c r="C28" s="488">
        <f>C10-(C16-C22)</f>
        <v>2361351</v>
      </c>
      <c r="D28" s="488">
        <f t="shared" si="3"/>
        <v>0</v>
      </c>
      <c r="E28" s="126" t="e">
        <f t="shared" si="4"/>
        <v>#REF!</v>
      </c>
      <c r="F28" s="488" t="e">
        <f t="shared" si="4"/>
        <v>#REF!</v>
      </c>
      <c r="G28" s="559" t="e">
        <f>SUM(B28:F28)</f>
        <v>#REF!</v>
      </c>
      <c r="H28" s="301"/>
      <c r="I28" s="88"/>
      <c r="J28" s="88"/>
      <c r="K28" s="88"/>
      <c r="L28" s="88"/>
      <c r="M28" s="88"/>
      <c r="N28" s="88"/>
      <c r="O28" s="88"/>
      <c r="P28" s="88"/>
      <c r="Q28" s="88"/>
      <c r="R28" s="88"/>
      <c r="S28" s="88"/>
      <c r="T28" s="88"/>
      <c r="U28" s="88"/>
      <c r="V28" s="88"/>
    </row>
    <row r="29" spans="1:22" s="4" customFormat="1" ht="15.75">
      <c r="A29" s="451" t="s">
        <v>409</v>
      </c>
      <c r="B29" s="488">
        <f t="shared" si="3"/>
        <v>-19676</v>
      </c>
      <c r="C29" s="488">
        <f>C11-(C17-C23)</f>
        <v>40805</v>
      </c>
      <c r="D29" s="488">
        <f t="shared" si="3"/>
        <v>0</v>
      </c>
      <c r="E29" s="126" t="e">
        <f t="shared" si="4"/>
        <v>#REF!</v>
      </c>
      <c r="F29" s="488" t="e">
        <f t="shared" si="4"/>
        <v>#REF!</v>
      </c>
      <c r="G29" s="559" t="e">
        <f>SUM(B29:F29)</f>
        <v>#REF!</v>
      </c>
      <c r="H29" s="301"/>
      <c r="I29" s="88"/>
      <c r="J29" s="88"/>
      <c r="K29" s="88"/>
      <c r="L29" s="88"/>
      <c r="M29" s="88"/>
      <c r="N29" s="88"/>
      <c r="O29" s="88"/>
      <c r="P29" s="88"/>
      <c r="Q29" s="88"/>
      <c r="R29" s="88"/>
      <c r="S29" s="88"/>
      <c r="T29" s="88"/>
      <c r="U29" s="88"/>
      <c r="V29" s="88"/>
    </row>
    <row r="30" spans="1:22" s="4" customFormat="1" ht="16.5" thickBot="1">
      <c r="A30" s="450" t="s">
        <v>386</v>
      </c>
      <c r="B30" s="557">
        <f aca="true" t="shared" si="5" ref="B30:G30">SUM(B27:B29)</f>
        <v>-6066043</v>
      </c>
      <c r="C30" s="557">
        <f t="shared" si="5"/>
        <v>8893048</v>
      </c>
      <c r="D30" s="557">
        <f t="shared" si="5"/>
        <v>0</v>
      </c>
      <c r="E30" s="557" t="e">
        <f t="shared" si="5"/>
        <v>#REF!</v>
      </c>
      <c r="F30" s="564" t="e">
        <f t="shared" si="5"/>
        <v>#REF!</v>
      </c>
      <c r="G30" s="558"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606" t="e">
        <f>+G30+H30</f>
        <v>#REF!</v>
      </c>
    </row>
    <row r="32" spans="1:8" ht="15.75">
      <c r="A32" s="772"/>
      <c r="B32" s="773"/>
      <c r="C32" s="773"/>
      <c r="D32" s="773"/>
      <c r="E32" s="773"/>
      <c r="F32" s="773"/>
      <c r="G32" s="773"/>
      <c r="H32" s="773"/>
    </row>
    <row r="33" spans="1:8" s="775" customFormat="1" ht="15" customHeight="1">
      <c r="A33" s="995" t="s">
        <v>438</v>
      </c>
      <c r="B33" s="995"/>
      <c r="C33" s="995"/>
      <c r="D33" s="995"/>
      <c r="E33" s="995"/>
      <c r="F33" s="995"/>
      <c r="G33" s="995"/>
      <c r="H33" s="995"/>
    </row>
    <row r="34" spans="1:8" s="775" customFormat="1" ht="12.75">
      <c r="A34" s="995"/>
      <c r="B34" s="995"/>
      <c r="C34" s="995"/>
      <c r="D34" s="995"/>
      <c r="E34" s="995"/>
      <c r="F34" s="995"/>
      <c r="G34" s="995"/>
      <c r="H34" s="995"/>
    </row>
    <row r="35" spans="1:8" s="775" customFormat="1" ht="12.75">
      <c r="A35" s="995"/>
      <c r="B35" s="995"/>
      <c r="C35" s="995"/>
      <c r="D35" s="995"/>
      <c r="E35" s="995"/>
      <c r="F35" s="995"/>
      <c r="G35" s="995"/>
      <c r="H35" s="995"/>
    </row>
    <row r="36" spans="1:8" s="775" customFormat="1" ht="12.75">
      <c r="A36" s="774"/>
      <c r="B36" s="774"/>
      <c r="C36" s="774"/>
      <c r="D36" s="774"/>
      <c r="E36" s="774"/>
      <c r="F36" s="774"/>
      <c r="G36" s="774"/>
      <c r="H36" s="774"/>
    </row>
    <row r="37" spans="2:4" s="775" customFormat="1" ht="12" customHeight="1">
      <c r="B37" s="776"/>
      <c r="C37" s="996" t="s">
        <v>439</v>
      </c>
      <c r="D37" s="996" t="s">
        <v>440</v>
      </c>
    </row>
    <row r="38" spans="2:4" s="775" customFormat="1" ht="12" customHeight="1">
      <c r="B38" s="777" t="s">
        <v>324</v>
      </c>
      <c r="C38" s="996"/>
      <c r="D38" s="996"/>
    </row>
    <row r="39" spans="1:7" s="775" customFormat="1" ht="12" customHeight="1">
      <c r="A39" s="778" t="s">
        <v>441</v>
      </c>
      <c r="B39" s="781">
        <v>478783</v>
      </c>
      <c r="C39" s="781">
        <v>1343200</v>
      </c>
      <c r="D39" s="781">
        <f>B39+C39</f>
        <v>1821983</v>
      </c>
      <c r="E39" s="779"/>
      <c r="F39" s="779"/>
      <c r="G39" s="779"/>
    </row>
    <row r="40" spans="1:7" s="775" customFormat="1" ht="12" customHeight="1">
      <c r="A40" s="778" t="s">
        <v>35</v>
      </c>
      <c r="B40" s="782">
        <v>487924</v>
      </c>
      <c r="C40" s="782">
        <v>1418672</v>
      </c>
      <c r="D40" s="782">
        <f>B40+C40</f>
        <v>1906596</v>
      </c>
      <c r="E40" s="779"/>
      <c r="F40" s="779"/>
      <c r="G40" s="779"/>
    </row>
    <row r="41" spans="1:7" s="775" customFormat="1" ht="12" customHeight="1">
      <c r="A41" s="778" t="s">
        <v>211</v>
      </c>
      <c r="B41" s="782">
        <v>509815</v>
      </c>
      <c r="C41" s="782">
        <v>1518349</v>
      </c>
      <c r="D41" s="782">
        <f>B41+C41</f>
        <v>2028164</v>
      </c>
      <c r="E41" s="779"/>
      <c r="F41" s="779"/>
      <c r="G41" s="779"/>
    </row>
    <row r="42" spans="1:7" s="775" customFormat="1" ht="12" customHeight="1">
      <c r="A42" s="778" t="s">
        <v>5</v>
      </c>
      <c r="B42" s="782">
        <v>508338</v>
      </c>
      <c r="C42" s="782">
        <v>1585267</v>
      </c>
      <c r="D42" s="782">
        <f>B42+C42</f>
        <v>2093605</v>
      </c>
      <c r="E42" s="779"/>
      <c r="F42" s="779"/>
      <c r="G42" s="779"/>
    </row>
    <row r="43" spans="1:7" s="775" customFormat="1" ht="12" customHeight="1" thickBot="1">
      <c r="A43" s="778" t="s">
        <v>61</v>
      </c>
      <c r="B43" s="783">
        <f>SUM(B39:B42)</f>
        <v>1984860</v>
      </c>
      <c r="C43" s="783">
        <f>SUM(C39:C42)</f>
        <v>5865488</v>
      </c>
      <c r="D43" s="783">
        <f>SUM(D39:D42)</f>
        <v>7850348</v>
      </c>
      <c r="E43" s="779"/>
      <c r="F43" s="779"/>
      <c r="G43" s="779"/>
    </row>
    <row r="44" spans="1:7" s="775" customFormat="1" ht="12" customHeight="1" thickTop="1">
      <c r="A44" s="778"/>
      <c r="B44" s="780"/>
      <c r="C44" s="780"/>
      <c r="D44" s="780"/>
      <c r="E44" s="779"/>
      <c r="F44" s="779"/>
      <c r="G44" s="779"/>
    </row>
    <row r="45" spans="1:8" s="775" customFormat="1" ht="12.75">
      <c r="A45" s="995" t="s">
        <v>442</v>
      </c>
      <c r="B45" s="995"/>
      <c r="C45" s="995"/>
      <c r="D45" s="995"/>
      <c r="E45" s="995"/>
      <c r="F45" s="995"/>
      <c r="G45" s="995"/>
      <c r="H45" s="995"/>
    </row>
    <row r="46" spans="1:8" s="775" customFormat="1" ht="12.75">
      <c r="A46" s="995"/>
      <c r="B46" s="995"/>
      <c r="C46" s="995"/>
      <c r="D46" s="995"/>
      <c r="E46" s="995"/>
      <c r="F46" s="995"/>
      <c r="G46" s="995"/>
      <c r="H46" s="995"/>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36">
      <selection activeCell="C37" sqref="C37"/>
    </sheetView>
  </sheetViews>
  <sheetFormatPr defaultColWidth="9.140625" defaultRowHeight="15" customHeight="1"/>
  <cols>
    <col min="1" max="1" width="60.7109375" style="21" customWidth="1"/>
    <col min="2" max="4" width="18.7109375" style="826" customWidth="1"/>
    <col min="5" max="5" width="15.7109375" style="342" customWidth="1"/>
    <col min="6" max="16384" width="15.7109375" style="21" customWidth="1"/>
  </cols>
  <sheetData>
    <row r="1" spans="1:5" s="263" customFormat="1" ht="30" customHeight="1">
      <c r="A1" s="976" t="s">
        <v>258</v>
      </c>
      <c r="B1" s="977"/>
      <c r="C1" s="977"/>
      <c r="D1" s="978"/>
      <c r="E1" s="788"/>
    </row>
    <row r="2" spans="1:5" s="45" customFormat="1" ht="15" customHeight="1">
      <c r="A2" s="979"/>
      <c r="B2" s="980"/>
      <c r="C2" s="980"/>
      <c r="D2" s="981"/>
      <c r="E2" s="789"/>
    </row>
    <row r="3" spans="1:5" s="45" customFormat="1" ht="15" customHeight="1">
      <c r="A3" s="973" t="s">
        <v>221</v>
      </c>
      <c r="B3" s="974"/>
      <c r="C3" s="974"/>
      <c r="D3" s="975"/>
      <c r="E3" s="789"/>
    </row>
    <row r="4" spans="1:5" s="45" customFormat="1" ht="15" customHeight="1">
      <c r="A4" s="973" t="s">
        <v>320</v>
      </c>
      <c r="B4" s="974"/>
      <c r="C4" s="974"/>
      <c r="D4" s="975"/>
      <c r="E4" s="789"/>
    </row>
    <row r="5" spans="1:5" s="45" customFormat="1" ht="15" customHeight="1">
      <c r="A5" s="973" t="s">
        <v>482</v>
      </c>
      <c r="B5" s="974"/>
      <c r="C5" s="974"/>
      <c r="D5" s="975"/>
      <c r="E5" s="789"/>
    </row>
    <row r="6" spans="1:5" s="45" customFormat="1" ht="15" customHeight="1">
      <c r="A6" s="407"/>
      <c r="B6" s="811"/>
      <c r="C6" s="811"/>
      <c r="D6" s="812"/>
      <c r="E6" s="789"/>
    </row>
    <row r="7" spans="1:5" s="18" customFormat="1" ht="15" customHeight="1">
      <c r="A7" s="408"/>
      <c r="B7" s="811"/>
      <c r="C7" s="811"/>
      <c r="D7" s="812"/>
      <c r="E7" s="127"/>
    </row>
    <row r="8" spans="1:5" s="18" customFormat="1" ht="15" customHeight="1">
      <c r="A8" s="409" t="s">
        <v>321</v>
      </c>
      <c r="B8" s="813" t="s">
        <v>494</v>
      </c>
      <c r="C8" s="814"/>
      <c r="D8" s="815"/>
      <c r="E8" s="127"/>
    </row>
    <row r="9" spans="1:5" s="18" customFormat="1" ht="15" customHeight="1">
      <c r="A9" s="409"/>
      <c r="B9" s="816" t="s">
        <v>18</v>
      </c>
      <c r="C9" s="817"/>
      <c r="D9" s="818"/>
      <c r="E9" s="127"/>
    </row>
    <row r="10" spans="1:5" s="18" customFormat="1" ht="15" customHeight="1">
      <c r="A10" s="410"/>
      <c r="B10" s="819" t="s">
        <v>268</v>
      </c>
      <c r="C10" s="820"/>
      <c r="D10" s="821"/>
      <c r="E10" s="127"/>
    </row>
    <row r="11" spans="1:5" s="18" customFormat="1" ht="15" customHeight="1">
      <c r="A11" s="411" t="s">
        <v>322</v>
      </c>
      <c r="B11" s="521"/>
      <c r="C11" s="480">
        <f>'Premiums YTD-8'!G11</f>
        <v>23958287</v>
      </c>
      <c r="D11" s="522"/>
      <c r="E11" s="127"/>
    </row>
    <row r="12" spans="1:5" s="18" customFormat="1" ht="15" customHeight="1">
      <c r="A12" s="411"/>
      <c r="B12" s="521"/>
      <c r="C12" s="488"/>
      <c r="D12" s="522"/>
      <c r="E12" s="127"/>
    </row>
    <row r="13" spans="1:5" s="18" customFormat="1" ht="15" customHeight="1">
      <c r="A13" s="412" t="s">
        <v>323</v>
      </c>
      <c r="B13" s="521">
        <f>+'Premiums YTD-8'!G17</f>
        <v>11919572</v>
      </c>
      <c r="C13" s="122"/>
      <c r="D13" s="522"/>
      <c r="E13" s="127"/>
    </row>
    <row r="14" spans="1:5" s="18" customFormat="1" ht="15" customHeight="1">
      <c r="A14" s="412" t="s">
        <v>342</v>
      </c>
      <c r="B14" s="523">
        <f>'Premiums YTD-8'!G23</f>
        <v>10749487</v>
      </c>
      <c r="C14" s="122"/>
      <c r="D14" s="522"/>
      <c r="E14" s="127"/>
    </row>
    <row r="15" spans="1:5" s="18" customFormat="1" ht="15" customHeight="1">
      <c r="A15" s="412" t="s">
        <v>343</v>
      </c>
      <c r="B15" s="521"/>
      <c r="C15" s="524">
        <f>B14-B13</f>
        <v>-1170085</v>
      </c>
      <c r="D15" s="522"/>
      <c r="E15" s="127"/>
    </row>
    <row r="16" spans="1:5" s="18" customFormat="1" ht="15" customHeight="1">
      <c r="A16" s="411" t="s">
        <v>344</v>
      </c>
      <c r="B16" s="521"/>
      <c r="C16" s="122"/>
      <c r="D16" s="576">
        <f>C11+C15</f>
        <v>22788202</v>
      </c>
      <c r="E16" s="127"/>
    </row>
    <row r="17" spans="1:4" s="18" customFormat="1" ht="15" customHeight="1">
      <c r="A17" s="412" t="s">
        <v>345</v>
      </c>
      <c r="B17" s="521"/>
      <c r="C17" s="122">
        <f>'[13]Loss Expenses YTD-17'!$E$43</f>
        <v>12771485.040000001</v>
      </c>
      <c r="D17" s="522"/>
    </row>
    <row r="18" spans="1:4" s="18" customFormat="1" ht="15" customHeight="1">
      <c r="A18" s="412" t="s">
        <v>76</v>
      </c>
      <c r="B18" s="521"/>
      <c r="C18" s="524">
        <f>-'[13]TB @ 1-25-05'!$F$308</f>
        <v>96676.28</v>
      </c>
      <c r="D18" s="522"/>
    </row>
    <row r="19" spans="1:5" s="18" customFormat="1" ht="15" customHeight="1">
      <c r="A19" s="411" t="s">
        <v>347</v>
      </c>
      <c r="B19" s="521"/>
      <c r="C19" s="122">
        <f>C17-C18</f>
        <v>12674808.760000002</v>
      </c>
      <c r="D19" s="522"/>
      <c r="E19" s="127"/>
    </row>
    <row r="20" spans="1:5" s="18" customFormat="1" ht="15" customHeight="1">
      <c r="A20" s="412" t="s">
        <v>348</v>
      </c>
      <c r="B20" s="521">
        <f>+'Losses Incurred YTD-10'!G19+'Losses Incurred YTD-10'!G25</f>
        <v>6512476.680000001</v>
      </c>
      <c r="C20" s="122" t="s">
        <v>268</v>
      </c>
      <c r="D20" s="522"/>
      <c r="E20" s="127"/>
    </row>
    <row r="21" spans="1:5" s="18" customFormat="1" ht="15" customHeight="1">
      <c r="A21" s="412" t="s">
        <v>349</v>
      </c>
      <c r="B21" s="523">
        <f>'Losses Incurred YTD-10'!G32</f>
        <v>7240545.76</v>
      </c>
      <c r="C21" s="122"/>
      <c r="D21" s="522"/>
      <c r="E21" s="127"/>
    </row>
    <row r="22" spans="1:5" s="18" customFormat="1" ht="15" customHeight="1">
      <c r="A22" s="412" t="s">
        <v>350</v>
      </c>
      <c r="B22" s="526"/>
      <c r="C22" s="524">
        <f>B20-B21</f>
        <v>-728069.0799999991</v>
      </c>
      <c r="D22" s="522"/>
      <c r="E22" s="127"/>
    </row>
    <row r="23" spans="1:6" s="18" customFormat="1" ht="15" customHeight="1">
      <c r="A23" s="411" t="s">
        <v>351</v>
      </c>
      <c r="B23" s="521"/>
      <c r="C23" s="122"/>
      <c r="D23" s="522">
        <f>C19+C22</f>
        <v>11946739.680000003</v>
      </c>
      <c r="E23" s="122"/>
      <c r="F23" s="114"/>
    </row>
    <row r="24" spans="1:5" s="18" customFormat="1" ht="15" customHeight="1">
      <c r="A24" s="412" t="s">
        <v>352</v>
      </c>
      <c r="B24" s="521"/>
      <c r="C24" s="122">
        <f>'[13]Loss Expenses YTD-17'!$C$43</f>
        <v>1087331.8</v>
      </c>
      <c r="D24" s="522"/>
      <c r="E24" s="334"/>
    </row>
    <row r="25" spans="1:5" s="18" customFormat="1" ht="15" customHeight="1">
      <c r="A25" s="412" t="s">
        <v>353</v>
      </c>
      <c r="B25" s="521"/>
      <c r="C25" s="524">
        <f>'[13]Loss Expenses YTD-17'!$I$43</f>
        <v>530860.42</v>
      </c>
      <c r="D25" s="522"/>
      <c r="E25" s="334"/>
    </row>
    <row r="26" spans="1:5" s="18" customFormat="1" ht="15" customHeight="1">
      <c r="A26" s="411" t="s">
        <v>354</v>
      </c>
      <c r="B26" s="521"/>
      <c r="C26" s="122">
        <f>C24+C25</f>
        <v>1618192.2200000002</v>
      </c>
      <c r="D26" s="522"/>
      <c r="E26" s="122"/>
    </row>
    <row r="27" spans="1:5" s="18" customFormat="1" ht="15" customHeight="1">
      <c r="A27" s="412" t="s">
        <v>355</v>
      </c>
      <c r="B27" s="521">
        <f>'Loss Expenses YTD-12'!G18</f>
        <v>642578.9700000001</v>
      </c>
      <c r="C27" s="122"/>
      <c r="D27" s="522"/>
      <c r="E27" s="334"/>
    </row>
    <row r="28" spans="1:5" s="18" customFormat="1" ht="15" customHeight="1">
      <c r="A28" s="412" t="s">
        <v>356</v>
      </c>
      <c r="B28" s="523">
        <f>'Loss Expenses YTD-12'!G24</f>
        <v>717188.42</v>
      </c>
      <c r="C28" s="122"/>
      <c r="D28" s="522"/>
      <c r="E28" s="122"/>
    </row>
    <row r="29" spans="1:7" s="18" customFormat="1" ht="15" customHeight="1">
      <c r="A29" s="412" t="s">
        <v>357</v>
      </c>
      <c r="B29" s="521"/>
      <c r="C29" s="524">
        <f>B27-B28</f>
        <v>-74609.44999999995</v>
      </c>
      <c r="D29" s="522"/>
      <c r="E29" s="334"/>
      <c r="G29" s="114"/>
    </row>
    <row r="30" spans="1:6" s="18" customFormat="1" ht="15" customHeight="1">
      <c r="A30" s="411" t="s">
        <v>358</v>
      </c>
      <c r="B30" s="521"/>
      <c r="C30" s="122"/>
      <c r="D30" s="525">
        <f>C26+C29</f>
        <v>1543582.7700000003</v>
      </c>
      <c r="E30" s="122"/>
      <c r="F30" s="114"/>
    </row>
    <row r="31" spans="1:6" s="18" customFormat="1" ht="15" customHeight="1">
      <c r="A31" s="411" t="s">
        <v>359</v>
      </c>
      <c r="B31" s="521"/>
      <c r="C31" s="122"/>
      <c r="D31" s="547">
        <f>D23+D30+1</f>
        <v>13490323.450000003</v>
      </c>
      <c r="E31" s="122"/>
      <c r="F31" s="114"/>
    </row>
    <row r="32" spans="1:6" s="18" customFormat="1" ht="15" customHeight="1">
      <c r="A32" s="412" t="s">
        <v>360</v>
      </c>
      <c r="B32" s="521"/>
      <c r="C32" s="122">
        <f>'[14]Earned Incurred YTD-6'!$C$32</f>
        <v>86322.5</v>
      </c>
      <c r="D32" s="522"/>
      <c r="E32" s="334"/>
      <c r="F32" s="114"/>
    </row>
    <row r="33" spans="1:7" s="18" customFormat="1" ht="15" customHeight="1">
      <c r="A33" s="412" t="s">
        <v>361</v>
      </c>
      <c r="B33" s="521">
        <f>-'[13]TB @ 1-25-05'!$F$135</f>
        <v>61013.43</v>
      </c>
      <c r="C33" s="122"/>
      <c r="D33" s="522"/>
      <c r="E33" s="127"/>
      <c r="G33" s="114"/>
    </row>
    <row r="34" spans="1:7" s="18" customFormat="1" ht="15" customHeight="1">
      <c r="A34" s="412" t="s">
        <v>362</v>
      </c>
      <c r="B34" s="523">
        <v>61134.57</v>
      </c>
      <c r="C34" s="122" t="s">
        <v>268</v>
      </c>
      <c r="D34" s="522"/>
      <c r="E34" s="127"/>
      <c r="G34" s="114"/>
    </row>
    <row r="35" spans="1:5" s="18" customFormat="1" ht="15" customHeight="1">
      <c r="A35" s="412" t="s">
        <v>59</v>
      </c>
      <c r="B35" s="521"/>
      <c r="C35" s="524">
        <f>B33-B34-1</f>
        <v>-122.13999999999942</v>
      </c>
      <c r="D35" s="522"/>
      <c r="E35" s="127"/>
    </row>
    <row r="36" spans="1:6" s="18" customFormat="1" ht="15" customHeight="1">
      <c r="A36" s="411" t="s">
        <v>60</v>
      </c>
      <c r="B36" s="521"/>
      <c r="C36" s="122" t="s">
        <v>268</v>
      </c>
      <c r="D36" s="522">
        <f>C32+C35+1</f>
        <v>86201.36</v>
      </c>
      <c r="E36" s="127"/>
      <c r="F36" s="114"/>
    </row>
    <row r="37" spans="1:5" s="18" customFormat="1" ht="15" customHeight="1">
      <c r="A37" s="412" t="s">
        <v>465</v>
      </c>
      <c r="B37" s="521"/>
      <c r="C37" s="122">
        <f>'[13]TB @ 1-25-05'!$F$525</f>
        <v>2141483.1999999997</v>
      </c>
      <c r="D37" s="638"/>
      <c r="E37" s="127"/>
    </row>
    <row r="38" spans="1:5" s="18" customFormat="1" ht="15" customHeight="1">
      <c r="A38" s="412" t="s">
        <v>444</v>
      </c>
      <c r="B38" s="521"/>
      <c r="C38" s="122">
        <f>'[13]TB @ 1-25-05'!F535</f>
        <v>378477.92</v>
      </c>
      <c r="D38" s="522"/>
      <c r="E38" s="790"/>
    </row>
    <row r="39" spans="1:6" s="18" customFormat="1" ht="15" customHeight="1">
      <c r="A39" s="412" t="s">
        <v>150</v>
      </c>
      <c r="B39" s="521"/>
      <c r="C39" s="524">
        <f>'[13]TB @ 1-25-05'!F830-C43</f>
        <v>3902313.980000006</v>
      </c>
      <c r="D39" s="522"/>
      <c r="E39" s="790"/>
      <c r="F39" s="127"/>
    </row>
    <row r="40" spans="1:6" s="18" customFormat="1" ht="15" customHeight="1">
      <c r="A40" s="411" t="s">
        <v>151</v>
      </c>
      <c r="B40" s="521"/>
      <c r="C40" s="122">
        <f>SUM(C37:C39)</f>
        <v>6422275.100000005</v>
      </c>
      <c r="D40" s="522"/>
      <c r="E40" s="790"/>
      <c r="F40" s="127"/>
    </row>
    <row r="41" spans="1:5" s="18" customFormat="1" ht="15" customHeight="1">
      <c r="A41" s="412" t="s">
        <v>361</v>
      </c>
      <c r="B41" s="521">
        <f>-'[13]TB @ 1-25-05'!F153</f>
        <v>251967.98000000004</v>
      </c>
      <c r="C41" s="122"/>
      <c r="D41" s="522"/>
      <c r="E41" s="790"/>
    </row>
    <row r="42" spans="1:5" s="18" customFormat="1" ht="15" customHeight="1">
      <c r="A42" s="412" t="s">
        <v>362</v>
      </c>
      <c r="B42" s="523">
        <v>293447.56</v>
      </c>
      <c r="C42" s="122" t="s">
        <v>268</v>
      </c>
      <c r="D42" s="522"/>
      <c r="E42" s="127"/>
    </row>
    <row r="43" spans="1:5" s="18" customFormat="1" ht="15" customHeight="1">
      <c r="A43" s="412" t="s">
        <v>152</v>
      </c>
      <c r="B43" s="521"/>
      <c r="C43" s="524">
        <f>+B41-B42</f>
        <v>-41479.57999999996</v>
      </c>
      <c r="D43" s="522"/>
      <c r="E43" s="127"/>
    </row>
    <row r="44" spans="1:6" s="18" customFormat="1" ht="15" customHeight="1">
      <c r="A44" s="411" t="s">
        <v>222</v>
      </c>
      <c r="B44" s="521"/>
      <c r="C44" s="122"/>
      <c r="D44" s="522">
        <f>SUM(C40:C43)-1</f>
        <v>6380794.520000005</v>
      </c>
      <c r="E44" s="127"/>
      <c r="F44" s="127"/>
    </row>
    <row r="45" spans="1:6" s="18" customFormat="1" ht="15" customHeight="1">
      <c r="A45" s="411" t="s">
        <v>153</v>
      </c>
      <c r="B45" s="521"/>
      <c r="C45" s="122"/>
      <c r="D45" s="529">
        <f>SUM(D36:D44)</f>
        <v>6466995.8800000055</v>
      </c>
      <c r="E45" s="127"/>
      <c r="F45" s="120"/>
    </row>
    <row r="46" spans="1:6" s="18" customFormat="1" ht="15" customHeight="1">
      <c r="A46" s="411" t="s">
        <v>154</v>
      </c>
      <c r="B46" s="521"/>
      <c r="C46" s="122"/>
      <c r="D46" s="939">
        <f>+D31+D45</f>
        <v>19957319.33000001</v>
      </c>
      <c r="E46" s="127"/>
      <c r="F46" s="120"/>
    </row>
    <row r="47" spans="1:6" s="18" customFormat="1" ht="15" customHeight="1">
      <c r="A47" s="411" t="s">
        <v>471</v>
      </c>
      <c r="B47" s="521"/>
      <c r="C47" s="122"/>
      <c r="D47" s="787">
        <f>D16-D31-D45</f>
        <v>2830882.6699999915</v>
      </c>
      <c r="E47" s="48"/>
      <c r="F47" s="127"/>
    </row>
    <row r="48" spans="1:6" s="18" customFormat="1" ht="15" customHeight="1">
      <c r="A48" s="412" t="s">
        <v>203</v>
      </c>
      <c r="B48" s="521"/>
      <c r="C48" s="122">
        <f>-'[13]TB @ 1-25-05'!F273-C51</f>
        <v>141238.44000000003</v>
      </c>
      <c r="D48" s="530"/>
      <c r="E48" s="114"/>
      <c r="F48" s="114"/>
    </row>
    <row r="49" spans="1:5" s="18" customFormat="1" ht="15" customHeight="1">
      <c r="A49" s="412" t="s">
        <v>378</v>
      </c>
      <c r="B49" s="521">
        <f>'[13]TB @ 1-25-05'!F24</f>
        <v>45849.92</v>
      </c>
      <c r="C49" s="122"/>
      <c r="D49" s="530"/>
      <c r="E49" s="127"/>
    </row>
    <row r="50" spans="1:5" s="18" customFormat="1" ht="15" customHeight="1">
      <c r="A50" s="412" t="s">
        <v>379</v>
      </c>
      <c r="B50" s="523">
        <v>8748.01</v>
      </c>
      <c r="C50" s="122" t="s">
        <v>268</v>
      </c>
      <c r="D50" s="530"/>
      <c r="E50" s="127"/>
    </row>
    <row r="51" spans="1:5" s="18" customFormat="1" ht="15" customHeight="1">
      <c r="A51" s="412" t="s">
        <v>380</v>
      </c>
      <c r="B51" s="521"/>
      <c r="C51" s="524">
        <f>B49-B50</f>
        <v>37101.909999999996</v>
      </c>
      <c r="D51" s="530"/>
      <c r="E51" s="127"/>
    </row>
    <row r="52" spans="1:5" s="18" customFormat="1" ht="15" customHeight="1">
      <c r="A52" s="411" t="s">
        <v>204</v>
      </c>
      <c r="B52" s="521"/>
      <c r="C52" s="122"/>
      <c r="D52" s="531">
        <f>C48+C51</f>
        <v>178340.35000000003</v>
      </c>
      <c r="E52" s="127"/>
    </row>
    <row r="53" spans="1:6" s="18" customFormat="1" ht="15" customHeight="1">
      <c r="A53" s="413"/>
      <c r="B53" s="521"/>
      <c r="C53" s="122"/>
      <c r="D53" s="492"/>
      <c r="E53" s="127"/>
      <c r="F53" s="114"/>
    </row>
    <row r="54" spans="1:6" s="18" customFormat="1" ht="15" customHeight="1">
      <c r="A54" s="414" t="s">
        <v>472</v>
      </c>
      <c r="B54" s="523"/>
      <c r="C54" s="524"/>
      <c r="D54" s="940">
        <f>D47+D52</f>
        <v>3009223.0199999916</v>
      </c>
      <c r="E54" s="791"/>
      <c r="F54" s="340"/>
    </row>
    <row r="55" spans="1:4" s="18" customFormat="1" ht="15" customHeight="1">
      <c r="A55" s="415"/>
      <c r="B55" s="823"/>
      <c r="C55" s="823"/>
      <c r="D55" s="825"/>
    </row>
    <row r="56" spans="1:5" s="18" customFormat="1" ht="15" customHeight="1">
      <c r="A56" s="415"/>
      <c r="B56" s="823"/>
      <c r="C56" s="823"/>
      <c r="D56" s="340"/>
      <c r="E56" s="122"/>
    </row>
    <row r="57" spans="1:5" s="18" customFormat="1" ht="15" customHeight="1">
      <c r="A57" s="47"/>
      <c r="B57" s="822"/>
      <c r="C57" s="822"/>
      <c r="D57" s="822"/>
      <c r="E57" s="127"/>
    </row>
    <row r="58" spans="1:5" s="18" customFormat="1" ht="15" customHeight="1">
      <c r="A58" s="47"/>
      <c r="B58" s="822"/>
      <c r="C58" s="822"/>
      <c r="D58" s="822"/>
      <c r="E58" s="127"/>
    </row>
    <row r="59" spans="1:5" s="18" customFormat="1" ht="15" customHeight="1">
      <c r="A59" s="47"/>
      <c r="B59" s="822"/>
      <c r="C59" s="822"/>
      <c r="D59" s="822"/>
      <c r="E59" s="127"/>
    </row>
    <row r="60" spans="1:5" s="18" customFormat="1" ht="15" customHeight="1">
      <c r="A60" s="47"/>
      <c r="B60" s="822"/>
      <c r="C60" s="822"/>
      <c r="D60" s="822"/>
      <c r="E60" s="127"/>
    </row>
    <row r="61" spans="1:5" s="18" customFormat="1" ht="15" customHeight="1">
      <c r="A61" s="47"/>
      <c r="B61" s="822"/>
      <c r="C61" s="822"/>
      <c r="D61" s="822"/>
      <c r="E61" s="127"/>
    </row>
    <row r="62" spans="1:5" s="18" customFormat="1" ht="15" customHeight="1">
      <c r="A62" s="47"/>
      <c r="B62" s="822"/>
      <c r="C62" s="822"/>
      <c r="D62" s="822"/>
      <c r="E62" s="127"/>
    </row>
    <row r="63" spans="1:5" s="18" customFormat="1" ht="15" customHeight="1">
      <c r="A63" s="47"/>
      <c r="B63" s="822"/>
      <c r="C63" s="822"/>
      <c r="D63" s="822"/>
      <c r="E63" s="127"/>
    </row>
    <row r="64" spans="1:5" s="18" customFormat="1" ht="15" customHeight="1">
      <c r="A64" s="47"/>
      <c r="B64" s="824"/>
      <c r="C64" s="822"/>
      <c r="D64" s="822"/>
      <c r="E64" s="127"/>
    </row>
    <row r="65" spans="1:5" s="18" customFormat="1" ht="15" customHeight="1">
      <c r="A65" s="47"/>
      <c r="B65" s="824"/>
      <c r="C65" s="822"/>
      <c r="D65" s="822"/>
      <c r="E65" s="127"/>
    </row>
    <row r="66" spans="1:5" s="18" customFormat="1" ht="15" customHeight="1">
      <c r="A66" s="47"/>
      <c r="B66" s="824"/>
      <c r="C66" s="822"/>
      <c r="D66" s="822"/>
      <c r="E66" s="127"/>
    </row>
    <row r="67" spans="1:5" s="18" customFormat="1" ht="15" customHeight="1">
      <c r="A67" s="47"/>
      <c r="B67" s="824"/>
      <c r="C67" s="885"/>
      <c r="D67" s="822"/>
      <c r="E67" s="127"/>
    </row>
    <row r="68" spans="1:5" s="18" customFormat="1" ht="15" customHeight="1">
      <c r="A68" s="47"/>
      <c r="B68" s="824"/>
      <c r="C68" s="822"/>
      <c r="D68" s="822"/>
      <c r="E68" s="127"/>
    </row>
    <row r="69" spans="2:5" s="18" customFormat="1" ht="15" customHeight="1">
      <c r="B69" s="824"/>
      <c r="C69" s="822"/>
      <c r="D69" s="822"/>
      <c r="E69" s="127"/>
    </row>
    <row r="70" spans="1:5" s="18" customFormat="1" ht="15" customHeight="1">
      <c r="A70" s="47"/>
      <c r="B70" s="824"/>
      <c r="C70" s="822"/>
      <c r="D70" s="822"/>
      <c r="E70" s="127"/>
    </row>
    <row r="71" spans="1:5" s="18" customFormat="1" ht="15" customHeight="1">
      <c r="A71" s="47"/>
      <c r="B71" s="824"/>
      <c r="C71" s="822"/>
      <c r="D71" s="822"/>
      <c r="E71" s="127"/>
    </row>
    <row r="72" spans="1:5" s="18" customFormat="1" ht="15" customHeight="1">
      <c r="A72" s="47"/>
      <c r="B72" s="825"/>
      <c r="C72" s="822"/>
      <c r="D72" s="822"/>
      <c r="E72" s="127"/>
    </row>
    <row r="73" spans="1:5" s="18" customFormat="1" ht="15" customHeight="1">
      <c r="A73" s="47"/>
      <c r="B73" s="822"/>
      <c r="C73" s="885"/>
      <c r="D73" s="822"/>
      <c r="E73" s="127"/>
    </row>
    <row r="74" spans="1:5" s="18" customFormat="1" ht="15" customHeight="1">
      <c r="A74" s="47"/>
      <c r="B74" s="822"/>
      <c r="C74" s="822"/>
      <c r="D74" s="822"/>
      <c r="E74" s="127"/>
    </row>
    <row r="75" spans="1:5" s="18" customFormat="1" ht="15" customHeight="1">
      <c r="A75" s="47"/>
      <c r="B75" s="822"/>
      <c r="C75" s="822"/>
      <c r="D75" s="822"/>
      <c r="E75" s="127"/>
    </row>
    <row r="76" spans="1:5" s="18" customFormat="1" ht="15" customHeight="1">
      <c r="A76" s="47"/>
      <c r="B76" s="822"/>
      <c r="C76" s="822"/>
      <c r="D76" s="822"/>
      <c r="E76" s="127"/>
    </row>
    <row r="77" spans="1:5" s="18" customFormat="1" ht="15" customHeight="1">
      <c r="A77" s="47"/>
      <c r="B77" s="822"/>
      <c r="C77" s="822"/>
      <c r="D77" s="822"/>
      <c r="E77" s="127"/>
    </row>
    <row r="78" spans="1:5" s="18" customFormat="1" ht="15" customHeight="1">
      <c r="A78" s="47"/>
      <c r="B78" s="822"/>
      <c r="C78" s="822"/>
      <c r="D78" s="822"/>
      <c r="E78" s="127"/>
    </row>
    <row r="79" spans="1:5" s="18" customFormat="1" ht="15" customHeight="1">
      <c r="A79" s="47"/>
      <c r="B79" s="822"/>
      <c r="C79" s="822"/>
      <c r="D79" s="822"/>
      <c r="E79" s="127"/>
    </row>
    <row r="80" spans="1:5" s="18" customFormat="1" ht="15" customHeight="1">
      <c r="A80" s="47"/>
      <c r="B80" s="822"/>
      <c r="C80" s="822"/>
      <c r="D80" s="822"/>
      <c r="E80" s="127"/>
    </row>
    <row r="81" spans="1:5" s="18" customFormat="1" ht="15" customHeight="1">
      <c r="A81" s="47"/>
      <c r="B81" s="822"/>
      <c r="C81" s="822"/>
      <c r="D81" s="822"/>
      <c r="E81" s="127"/>
    </row>
    <row r="82" spans="1:5" s="18" customFormat="1" ht="15" customHeight="1">
      <c r="A82" s="47"/>
      <c r="B82" s="822"/>
      <c r="C82" s="822"/>
      <c r="D82" s="822"/>
      <c r="E82" s="127"/>
    </row>
    <row r="83" spans="1:5" s="18" customFormat="1" ht="15" customHeight="1">
      <c r="A83" s="47"/>
      <c r="B83" s="822"/>
      <c r="C83" s="822"/>
      <c r="D83" s="822"/>
      <c r="E83" s="127"/>
    </row>
    <row r="84" spans="1:5" s="18" customFormat="1" ht="15" customHeight="1">
      <c r="A84" s="47"/>
      <c r="B84" s="822"/>
      <c r="C84" s="822"/>
      <c r="D84" s="822"/>
      <c r="E84" s="127"/>
    </row>
    <row r="85" spans="1:5" s="18" customFormat="1" ht="15" customHeight="1">
      <c r="A85" s="47"/>
      <c r="B85" s="822"/>
      <c r="C85" s="822"/>
      <c r="D85" s="822"/>
      <c r="E85" s="127"/>
    </row>
    <row r="86" spans="1:5" s="18" customFormat="1" ht="15" customHeight="1">
      <c r="A86" s="47"/>
      <c r="B86" s="822"/>
      <c r="C86" s="822"/>
      <c r="D86" s="822"/>
      <c r="E86" s="127"/>
    </row>
    <row r="87" spans="1:5" s="18" customFormat="1" ht="15" customHeight="1">
      <c r="A87" s="47"/>
      <c r="B87" s="822"/>
      <c r="C87" s="822"/>
      <c r="D87" s="822"/>
      <c r="E87" s="127"/>
    </row>
    <row r="88" spans="1:5" s="18" customFormat="1" ht="15" customHeight="1">
      <c r="A88" s="47"/>
      <c r="B88" s="822"/>
      <c r="C88" s="822"/>
      <c r="D88" s="822"/>
      <c r="E88" s="127"/>
    </row>
    <row r="89" spans="1:5" s="18" customFormat="1" ht="15" customHeight="1">
      <c r="A89" s="47"/>
      <c r="B89" s="822"/>
      <c r="C89" s="825"/>
      <c r="D89" s="825"/>
      <c r="E89" s="127"/>
    </row>
    <row r="90" spans="1:5" s="18" customFormat="1" ht="15" customHeight="1">
      <c r="A90" s="47"/>
      <c r="B90" s="822"/>
      <c r="C90" s="825"/>
      <c r="D90" s="825"/>
      <c r="E90" s="127"/>
    </row>
    <row r="91" spans="1:5" s="18" customFormat="1" ht="15" customHeight="1">
      <c r="A91" s="47"/>
      <c r="B91" s="822"/>
      <c r="C91" s="825"/>
      <c r="D91" s="825"/>
      <c r="E91" s="127"/>
    </row>
    <row r="92" spans="1:5" s="18" customFormat="1" ht="15" customHeight="1">
      <c r="A92" s="47"/>
      <c r="B92" s="825"/>
      <c r="C92" s="825"/>
      <c r="D92" s="825"/>
      <c r="E92" s="127"/>
    </row>
    <row r="93" spans="1:5" s="18" customFormat="1" ht="15" customHeight="1">
      <c r="A93" s="47"/>
      <c r="B93" s="825"/>
      <c r="C93" s="825"/>
      <c r="D93" s="825"/>
      <c r="E93" s="127"/>
    </row>
    <row r="94" spans="1:5" s="18" customFormat="1" ht="15" customHeight="1">
      <c r="A94" s="47"/>
      <c r="B94" s="825"/>
      <c r="C94" s="825"/>
      <c r="D94" s="825"/>
      <c r="E94" s="127"/>
    </row>
    <row r="95" spans="1:5" s="18" customFormat="1" ht="15" customHeight="1">
      <c r="A95" s="47"/>
      <c r="B95" s="825"/>
      <c r="C95" s="825"/>
      <c r="D95" s="825"/>
      <c r="E95" s="127"/>
    </row>
    <row r="96" spans="1:5" s="18" customFormat="1" ht="15" customHeight="1">
      <c r="A96" s="47"/>
      <c r="B96" s="825"/>
      <c r="C96" s="825"/>
      <c r="D96" s="825"/>
      <c r="E96" s="127"/>
    </row>
    <row r="97" spans="1:5" s="18" customFormat="1" ht="15" customHeight="1">
      <c r="A97" s="47"/>
      <c r="B97" s="825"/>
      <c r="C97" s="825"/>
      <c r="D97" s="825"/>
      <c r="E97" s="127"/>
    </row>
    <row r="98" spans="1:5" s="18" customFormat="1" ht="15" customHeight="1">
      <c r="A98" s="47"/>
      <c r="B98" s="825"/>
      <c r="C98" s="825"/>
      <c r="D98" s="825"/>
      <c r="E98" s="127"/>
    </row>
    <row r="99" spans="1:5" s="18" customFormat="1" ht="15" customHeight="1">
      <c r="A99" s="47"/>
      <c r="B99" s="825"/>
      <c r="C99" s="825"/>
      <c r="D99" s="825"/>
      <c r="E99" s="127"/>
    </row>
    <row r="100" spans="1:5" s="18" customFormat="1" ht="15" customHeight="1">
      <c r="A100" s="47"/>
      <c r="B100" s="825"/>
      <c r="C100" s="825"/>
      <c r="D100" s="825"/>
      <c r="E100" s="127"/>
    </row>
    <row r="101" spans="1:5" s="18" customFormat="1" ht="15" customHeight="1">
      <c r="A101" s="47"/>
      <c r="B101" s="825"/>
      <c r="C101" s="825"/>
      <c r="D101" s="825"/>
      <c r="E101" s="127"/>
    </row>
    <row r="102" spans="1:5" s="18" customFormat="1" ht="15" customHeight="1">
      <c r="A102" s="47"/>
      <c r="B102" s="825"/>
      <c r="C102" s="825"/>
      <c r="D102" s="825"/>
      <c r="E102" s="127"/>
    </row>
    <row r="103" spans="1:5" s="18" customFormat="1" ht="15" customHeight="1">
      <c r="A103" s="47"/>
      <c r="B103" s="825"/>
      <c r="C103" s="825"/>
      <c r="D103" s="825"/>
      <c r="E103" s="127"/>
    </row>
    <row r="104" spans="1:5" s="18" customFormat="1" ht="15" customHeight="1">
      <c r="A104" s="47"/>
      <c r="B104" s="825"/>
      <c r="C104" s="825"/>
      <c r="D104" s="825"/>
      <c r="E104" s="127"/>
    </row>
    <row r="105" spans="1:5" s="18" customFormat="1" ht="15" customHeight="1">
      <c r="A105" s="47"/>
      <c r="B105" s="825"/>
      <c r="C105" s="825"/>
      <c r="D105" s="825"/>
      <c r="E105" s="127"/>
    </row>
    <row r="106" spans="1:5" s="18" customFormat="1" ht="15" customHeight="1">
      <c r="A106" s="47"/>
      <c r="B106" s="825"/>
      <c r="C106" s="825"/>
      <c r="D106" s="825"/>
      <c r="E106" s="127"/>
    </row>
    <row r="107" spans="1:5" s="18" customFormat="1" ht="15" customHeight="1">
      <c r="A107" s="47"/>
      <c r="B107" s="825"/>
      <c r="C107" s="825"/>
      <c r="D107" s="825"/>
      <c r="E107" s="127"/>
    </row>
    <row r="108" spans="1:5" s="18" customFormat="1" ht="15" customHeight="1">
      <c r="A108" s="47"/>
      <c r="B108" s="825"/>
      <c r="C108" s="825"/>
      <c r="D108" s="825"/>
      <c r="E108" s="127"/>
    </row>
    <row r="109" spans="1:5" s="18" customFormat="1" ht="15" customHeight="1">
      <c r="A109" s="47"/>
      <c r="B109" s="825"/>
      <c r="C109" s="825"/>
      <c r="D109" s="825"/>
      <c r="E109" s="127"/>
    </row>
    <row r="110" spans="1:5" s="18" customFormat="1" ht="15" customHeight="1">
      <c r="A110" s="47"/>
      <c r="B110" s="825"/>
      <c r="C110" s="825"/>
      <c r="D110" s="825"/>
      <c r="E110" s="127"/>
    </row>
    <row r="111" spans="1:5" s="18" customFormat="1" ht="15" customHeight="1">
      <c r="A111" s="47"/>
      <c r="B111" s="825"/>
      <c r="C111" s="825"/>
      <c r="D111" s="825"/>
      <c r="E111" s="127"/>
    </row>
    <row r="112" spans="1:5" s="18" customFormat="1" ht="15" customHeight="1">
      <c r="A112" s="47"/>
      <c r="B112" s="825"/>
      <c r="C112" s="825"/>
      <c r="D112" s="825"/>
      <c r="E112" s="127"/>
    </row>
    <row r="113" spans="1:5" s="18" customFormat="1" ht="15" customHeight="1">
      <c r="A113" s="47"/>
      <c r="B113" s="825"/>
      <c r="C113" s="825"/>
      <c r="D113" s="825"/>
      <c r="E113" s="127"/>
    </row>
    <row r="114" spans="1:5" s="18" customFormat="1" ht="15" customHeight="1">
      <c r="A114" s="47"/>
      <c r="B114" s="825"/>
      <c r="C114" s="825"/>
      <c r="D114" s="825"/>
      <c r="E114" s="127"/>
    </row>
    <row r="115" spans="1:5" s="18" customFormat="1" ht="15" customHeight="1">
      <c r="A115" s="47"/>
      <c r="B115" s="825"/>
      <c r="C115" s="825"/>
      <c r="D115" s="825"/>
      <c r="E115" s="127"/>
    </row>
    <row r="116" spans="1:5" s="18" customFormat="1" ht="15" customHeight="1">
      <c r="A116" s="47"/>
      <c r="B116" s="825"/>
      <c r="C116" s="825"/>
      <c r="D116" s="825"/>
      <c r="E116" s="127"/>
    </row>
    <row r="117" spans="1:5" s="18" customFormat="1" ht="15" customHeight="1">
      <c r="A117" s="47"/>
      <c r="B117" s="825"/>
      <c r="C117" s="825"/>
      <c r="D117" s="825"/>
      <c r="E117" s="127"/>
    </row>
    <row r="118" spans="1:5" s="18" customFormat="1" ht="15" customHeight="1">
      <c r="A118" s="47"/>
      <c r="B118" s="825"/>
      <c r="C118" s="825"/>
      <c r="D118" s="825"/>
      <c r="E118" s="127"/>
    </row>
    <row r="119" spans="1:5" s="18" customFormat="1" ht="15" customHeight="1">
      <c r="A119" s="47"/>
      <c r="B119" s="825"/>
      <c r="C119" s="825"/>
      <c r="D119" s="825"/>
      <c r="E119" s="127"/>
    </row>
    <row r="120" spans="1:5" s="18" customFormat="1" ht="15" customHeight="1">
      <c r="A120" s="47"/>
      <c r="B120" s="825"/>
      <c r="C120" s="825"/>
      <c r="D120" s="825"/>
      <c r="E120" s="127"/>
    </row>
    <row r="121" spans="1:5" s="18" customFormat="1" ht="15" customHeight="1">
      <c r="A121" s="802"/>
      <c r="B121" s="825"/>
      <c r="C121" s="825"/>
      <c r="D121" s="825"/>
      <c r="E121" s="127"/>
    </row>
    <row r="122" spans="1:5" s="18" customFormat="1" ht="15" customHeight="1">
      <c r="A122" s="802"/>
      <c r="B122" s="825"/>
      <c r="C122" s="825"/>
      <c r="D122" s="825"/>
      <c r="E122" s="127"/>
    </row>
    <row r="123" spans="1:5" s="18" customFormat="1" ht="15" customHeight="1">
      <c r="A123" s="802"/>
      <c r="B123" s="825"/>
      <c r="C123" s="825"/>
      <c r="D123" s="825"/>
      <c r="E123" s="127"/>
    </row>
    <row r="124" spans="1:5" s="18" customFormat="1" ht="15" customHeight="1">
      <c r="A124" s="802"/>
      <c r="B124" s="825"/>
      <c r="C124" s="825"/>
      <c r="D124" s="825"/>
      <c r="E124" s="127"/>
    </row>
    <row r="125" spans="1:5" s="18" customFormat="1" ht="15" customHeight="1">
      <c r="A125" s="802"/>
      <c r="B125" s="825"/>
      <c r="C125" s="825"/>
      <c r="D125" s="825"/>
      <c r="E125" s="127"/>
    </row>
    <row r="126" spans="1:5" s="18" customFormat="1" ht="15" customHeight="1">
      <c r="A126" s="802"/>
      <c r="B126" s="825"/>
      <c r="C126" s="825"/>
      <c r="D126" s="825"/>
      <c r="E126" s="127"/>
    </row>
    <row r="127" spans="1:5" s="18" customFormat="1" ht="15" customHeight="1">
      <c r="A127" s="802"/>
      <c r="B127" s="825"/>
      <c r="C127" s="825"/>
      <c r="D127" s="82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B23">
      <selection activeCell="H35" sqref="H35"/>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258</v>
      </c>
      <c r="B1" s="425"/>
      <c r="C1" s="425"/>
      <c r="D1" s="425"/>
      <c r="E1" s="425"/>
      <c r="F1" s="425"/>
      <c r="G1" s="426"/>
    </row>
    <row r="2" spans="1:7" s="98" customFormat="1" ht="15" customHeight="1">
      <c r="A2" s="427"/>
      <c r="B2" s="428"/>
      <c r="C2" s="428"/>
      <c r="D2" s="428"/>
      <c r="E2" s="428"/>
      <c r="F2" s="428"/>
      <c r="G2" s="429"/>
    </row>
    <row r="3" spans="1:7" ht="15" customHeight="1">
      <c r="A3" s="886" t="s">
        <v>381</v>
      </c>
      <c r="B3" s="887"/>
      <c r="C3" s="887"/>
      <c r="D3" s="887"/>
      <c r="E3" s="887"/>
      <c r="F3" s="887"/>
      <c r="G3" s="888"/>
    </row>
    <row r="4" spans="1:7" ht="15" customHeight="1">
      <c r="A4" s="886" t="s">
        <v>484</v>
      </c>
      <c r="B4" s="887"/>
      <c r="C4" s="887"/>
      <c r="D4" s="887"/>
      <c r="E4" s="887"/>
      <c r="F4" s="887"/>
      <c r="G4" s="888"/>
    </row>
    <row r="5" spans="1:7" s="14" customFormat="1" ht="15" customHeight="1">
      <c r="A5" s="431"/>
      <c r="B5" s="432"/>
      <c r="C5" s="432"/>
      <c r="D5" s="432"/>
      <c r="E5" s="432"/>
      <c r="F5" s="432"/>
      <c r="G5" s="432"/>
    </row>
    <row r="6" spans="1:7" s="14" customFormat="1" ht="30" customHeight="1">
      <c r="A6" s="433" t="s">
        <v>80</v>
      </c>
      <c r="B6" s="375" t="s">
        <v>198</v>
      </c>
      <c r="C6" s="375" t="s">
        <v>42</v>
      </c>
      <c r="D6" s="375" t="s">
        <v>46</v>
      </c>
      <c r="E6" s="375" t="s">
        <v>147</v>
      </c>
      <c r="F6" s="375" t="s">
        <v>217</v>
      </c>
      <c r="G6" s="588" t="s">
        <v>259</v>
      </c>
    </row>
    <row r="7" spans="1:7" s="14" customFormat="1" ht="15" customHeight="1">
      <c r="A7" s="434" t="s">
        <v>382</v>
      </c>
      <c r="B7" s="374"/>
      <c r="C7" s="374"/>
      <c r="D7" s="374"/>
      <c r="E7" s="374"/>
      <c r="F7" s="374"/>
      <c r="G7" s="374"/>
    </row>
    <row r="8" spans="1:7" s="99" customFormat="1" ht="15" customHeight="1">
      <c r="A8" s="373" t="s">
        <v>451</v>
      </c>
      <c r="B8" s="479">
        <f>-'[13]TB @ 1-25-05'!C238</f>
        <v>4566777</v>
      </c>
      <c r="C8" s="479">
        <f>-'[13]TB @ 1-25-05'!C234</f>
        <v>-16742</v>
      </c>
      <c r="D8" s="479">
        <f>-'[13]TB @ 1-25-05'!C230</f>
        <v>-1011</v>
      </c>
      <c r="E8" s="479">
        <f>-'[13]TB @ 1-25-05'!C227</f>
        <v>-115</v>
      </c>
      <c r="F8" s="126">
        <v>0</v>
      </c>
      <c r="G8" s="479">
        <f>SUM(B8:F8)</f>
        <v>4548909</v>
      </c>
    </row>
    <row r="9" spans="1:7" s="14" customFormat="1" ht="15" customHeight="1">
      <c r="A9" s="373" t="s">
        <v>396</v>
      </c>
      <c r="B9" s="126">
        <f>-'[13]TB @ 1-25-05'!C239</f>
        <v>1291269</v>
      </c>
      <c r="C9" s="126">
        <f>-'[13]TB @ 1-25-05'!C235</f>
        <v>-5542</v>
      </c>
      <c r="D9" s="126">
        <f>-'[13]TB @ 1-25-05'!C231</f>
        <v>-719</v>
      </c>
      <c r="E9" s="126">
        <f>-'[13]TB @ 1-25-05'!C228</f>
        <v>-61</v>
      </c>
      <c r="F9" s="126">
        <v>0</v>
      </c>
      <c r="G9" s="488">
        <f>SUM(B9:F9)</f>
        <v>1284947</v>
      </c>
    </row>
    <row r="10" spans="1:7" s="14" customFormat="1" ht="15" customHeight="1">
      <c r="A10" s="373" t="s">
        <v>397</v>
      </c>
      <c r="B10" s="126">
        <f>-'[13]TB @ 1-25-05'!C240</f>
        <v>15081</v>
      </c>
      <c r="C10" s="126">
        <f>-'[13]TB @ 1-25-05'!C236</f>
        <v>-9</v>
      </c>
      <c r="D10" s="126">
        <f>'[13]TB @ 1-25-05'!C232</f>
        <v>0</v>
      </c>
      <c r="E10" s="126">
        <v>0</v>
      </c>
      <c r="F10" s="126">
        <v>0</v>
      </c>
      <c r="G10" s="488">
        <f>SUM(B10:F10)</f>
        <v>15072</v>
      </c>
    </row>
    <row r="11" spans="1:7" s="24" customFormat="1" ht="15" customHeight="1" thickBot="1">
      <c r="A11" s="435" t="s">
        <v>386</v>
      </c>
      <c r="B11" s="138">
        <f aca="true" t="shared" si="0" ref="B11:G11">SUM(B8:B10)</f>
        <v>5873127</v>
      </c>
      <c r="C11" s="138">
        <f t="shared" si="0"/>
        <v>-22293</v>
      </c>
      <c r="D11" s="138">
        <f t="shared" si="0"/>
        <v>-1730</v>
      </c>
      <c r="E11" s="138">
        <f t="shared" si="0"/>
        <v>-176</v>
      </c>
      <c r="F11" s="138">
        <f t="shared" si="0"/>
        <v>0</v>
      </c>
      <c r="G11" s="785">
        <f t="shared" si="0"/>
        <v>5848928</v>
      </c>
    </row>
    <row r="12" spans="1:7" s="24" customFormat="1" ht="15" customHeight="1" thickTop="1">
      <c r="A12" s="373"/>
      <c r="B12" s="126"/>
      <c r="C12" s="126"/>
      <c r="D12" s="126"/>
      <c r="E12" s="126"/>
      <c r="F12" s="126"/>
      <c r="G12" s="256"/>
    </row>
    <row r="13" spans="1:7" s="24" customFormat="1" ht="30" customHeight="1">
      <c r="A13" s="434" t="s">
        <v>490</v>
      </c>
      <c r="B13" s="126"/>
      <c r="C13" s="126"/>
      <c r="D13" s="126"/>
      <c r="E13" s="126"/>
      <c r="F13" s="126"/>
      <c r="G13" s="126"/>
    </row>
    <row r="14" spans="1:7" s="24" customFormat="1" ht="15" customHeight="1">
      <c r="A14" s="373" t="s">
        <v>451</v>
      </c>
      <c r="B14" s="126">
        <f>'Premiums YTD-8'!B14</f>
        <v>9240740</v>
      </c>
      <c r="C14" s="126">
        <f>'Premiums YTD-8'!C14</f>
        <v>0</v>
      </c>
      <c r="D14" s="126">
        <f>'Premiums YTD-8'!D14</f>
        <v>0</v>
      </c>
      <c r="E14" s="126">
        <f>'Premiums YTD-8'!E14</f>
        <v>0</v>
      </c>
      <c r="F14" s="126">
        <f>'Premiums YTD-8'!F14</f>
        <v>0</v>
      </c>
      <c r="G14" s="488">
        <f>SUM(B14:F14)</f>
        <v>9240740</v>
      </c>
    </row>
    <row r="15" spans="1:7" s="24" customFormat="1" ht="15" customHeight="1">
      <c r="A15" s="373" t="s">
        <v>16</v>
      </c>
      <c r="B15" s="126">
        <f>'Premiums YTD-8'!B15</f>
        <v>2646702</v>
      </c>
      <c r="C15" s="126">
        <f>'Premiums YTD-8'!C15</f>
        <v>0</v>
      </c>
      <c r="D15" s="126">
        <f>'Premiums YTD-8'!D15</f>
        <v>0</v>
      </c>
      <c r="E15" s="126">
        <f>'Premiums YTD-8'!E15</f>
        <v>0</v>
      </c>
      <c r="F15" s="126">
        <f>'Premiums YTD-8'!F15</f>
        <v>0</v>
      </c>
      <c r="G15" s="488">
        <f>SUM(B15:F15)</f>
        <v>2646702</v>
      </c>
    </row>
    <row r="16" spans="1:7" s="24" customFormat="1" ht="15" customHeight="1">
      <c r="A16" s="373" t="s">
        <v>409</v>
      </c>
      <c r="B16" s="126">
        <f>'Premiums YTD-8'!B16</f>
        <v>32130</v>
      </c>
      <c r="C16" s="126">
        <f>'Premiums YTD-8'!C16</f>
        <v>0</v>
      </c>
      <c r="D16" s="126">
        <f>'Premiums YTD-8'!D16</f>
        <v>0</v>
      </c>
      <c r="E16" s="126">
        <f>'Premiums YTD-8'!E16</f>
        <v>0</v>
      </c>
      <c r="F16" s="126">
        <f>'Premiums YTD-8'!F16</f>
        <v>0</v>
      </c>
      <c r="G16" s="784">
        <f>SUM(B16:F16)</f>
        <v>32130</v>
      </c>
    </row>
    <row r="17" spans="1:7" s="24" customFormat="1" ht="15" customHeight="1" thickBot="1">
      <c r="A17" s="435" t="s">
        <v>386</v>
      </c>
      <c r="B17" s="138">
        <f>SUM(B14:B16)</f>
        <v>11919572</v>
      </c>
      <c r="C17" s="138">
        <f>SUM(C14:C16)</f>
        <v>0</v>
      </c>
      <c r="D17" s="138">
        <f>SUM(D14:D16)</f>
        <v>0</v>
      </c>
      <c r="E17" s="138">
        <f>SUM(E14:E16)</f>
        <v>0</v>
      </c>
      <c r="F17" s="138">
        <v>0</v>
      </c>
      <c r="G17" s="785">
        <f>SUM(G14:G16)</f>
        <v>11919572</v>
      </c>
    </row>
    <row r="18" spans="1:7" s="24" customFormat="1" ht="15" customHeight="1" thickTop="1">
      <c r="A18" s="373"/>
      <c r="B18" s="126"/>
      <c r="C18" s="126"/>
      <c r="D18" s="126"/>
      <c r="E18" s="126"/>
      <c r="F18" s="126"/>
      <c r="G18" s="256"/>
    </row>
    <row r="19" spans="1:7" s="24" customFormat="1" ht="30" customHeight="1">
      <c r="A19" s="434" t="s">
        <v>493</v>
      </c>
      <c r="B19" s="312"/>
      <c r="C19" s="312"/>
      <c r="D19" s="312"/>
      <c r="E19" s="312"/>
      <c r="F19" s="126"/>
      <c r="G19" s="126"/>
    </row>
    <row r="20" spans="1:7" s="24" customFormat="1" ht="15" customHeight="1">
      <c r="A20" s="373" t="s">
        <v>451</v>
      </c>
      <c r="B20" s="126">
        <v>8815076</v>
      </c>
      <c r="C20" s="126">
        <v>495257</v>
      </c>
      <c r="D20" s="126">
        <v>0</v>
      </c>
      <c r="E20" s="126">
        <v>0</v>
      </c>
      <c r="F20" s="126">
        <v>0</v>
      </c>
      <c r="G20" s="488">
        <f>SUM(B20:F20)</f>
        <v>9310333</v>
      </c>
    </row>
    <row r="21" spans="1:7" s="24" customFormat="1" ht="15" customHeight="1">
      <c r="A21" s="373" t="s">
        <v>396</v>
      </c>
      <c r="B21" s="126">
        <v>2544509</v>
      </c>
      <c r="C21" s="126">
        <v>151008</v>
      </c>
      <c r="D21" s="126">
        <v>0</v>
      </c>
      <c r="E21" s="126">
        <v>0</v>
      </c>
      <c r="F21" s="126">
        <v>0</v>
      </c>
      <c r="G21" s="488">
        <f>SUM(B21:F21)</f>
        <v>2695517</v>
      </c>
    </row>
    <row r="22" spans="1:7" s="24" customFormat="1" ht="15" customHeight="1">
      <c r="A22" s="373" t="s">
        <v>397</v>
      </c>
      <c r="B22" s="126">
        <v>31955</v>
      </c>
      <c r="C22" s="126">
        <v>1786</v>
      </c>
      <c r="D22" s="126">
        <v>0</v>
      </c>
      <c r="E22" s="126">
        <v>0</v>
      </c>
      <c r="F22" s="126">
        <v>0</v>
      </c>
      <c r="G22" s="488">
        <f>SUM(B22:F22)</f>
        <v>33741</v>
      </c>
    </row>
    <row r="23" spans="1:7" s="24" customFormat="1" ht="15" customHeight="1" thickBot="1">
      <c r="A23" s="435" t="s">
        <v>386</v>
      </c>
      <c r="B23" s="138">
        <f aca="true" t="shared" si="1" ref="B23:G23">SUM(B20:B22)</f>
        <v>11391540</v>
      </c>
      <c r="C23" s="138">
        <f t="shared" si="1"/>
        <v>648051</v>
      </c>
      <c r="D23" s="138">
        <f t="shared" si="1"/>
        <v>0</v>
      </c>
      <c r="E23" s="138">
        <f t="shared" si="1"/>
        <v>0</v>
      </c>
      <c r="F23" s="138">
        <f t="shared" si="1"/>
        <v>0</v>
      </c>
      <c r="G23" s="129">
        <f t="shared" si="1"/>
        <v>12039591</v>
      </c>
    </row>
    <row r="24" spans="1:7" s="804" customFormat="1" ht="15" customHeight="1" thickTop="1">
      <c r="A24" s="436"/>
      <c r="B24" s="126"/>
      <c r="C24" s="126"/>
      <c r="D24" s="126"/>
      <c r="E24" s="889"/>
      <c r="F24" s="126"/>
      <c r="G24" s="803"/>
    </row>
    <row r="25" spans="1:7" s="24" customFormat="1" ht="15" customHeight="1">
      <c r="A25" s="434" t="s">
        <v>387</v>
      </c>
      <c r="B25" s="126"/>
      <c r="C25" s="126"/>
      <c r="D25" s="126"/>
      <c r="E25" s="126"/>
      <c r="F25" s="126"/>
      <c r="G25" s="126"/>
    </row>
    <row r="26" spans="1:7" s="24" customFormat="1" ht="15" customHeight="1">
      <c r="A26" s="373" t="s">
        <v>451</v>
      </c>
      <c r="B26" s="126">
        <f aca="true" t="shared" si="2" ref="B26:F28">B8-(B14-B20)</f>
        <v>4141113</v>
      </c>
      <c r="C26" s="126">
        <f t="shared" si="2"/>
        <v>478515</v>
      </c>
      <c r="D26" s="126">
        <f t="shared" si="2"/>
        <v>-1011</v>
      </c>
      <c r="E26" s="126">
        <f t="shared" si="2"/>
        <v>-115</v>
      </c>
      <c r="F26" s="126">
        <f t="shared" si="2"/>
        <v>0</v>
      </c>
      <c r="G26" s="488">
        <f>SUM(B26:F26)</f>
        <v>4618502</v>
      </c>
    </row>
    <row r="27" spans="1:7" s="24" customFormat="1" ht="15" customHeight="1">
      <c r="A27" s="373" t="s">
        <v>396</v>
      </c>
      <c r="B27" s="126">
        <f t="shared" si="2"/>
        <v>1189076</v>
      </c>
      <c r="C27" s="126">
        <f t="shared" si="2"/>
        <v>145466</v>
      </c>
      <c r="D27" s="126">
        <f t="shared" si="2"/>
        <v>-719</v>
      </c>
      <c r="E27" s="126">
        <f t="shared" si="2"/>
        <v>-61</v>
      </c>
      <c r="F27" s="126">
        <f t="shared" si="2"/>
        <v>0</v>
      </c>
      <c r="G27" s="488">
        <f>SUM(B27:F27)</f>
        <v>1333762</v>
      </c>
    </row>
    <row r="28" spans="1:7" s="24" customFormat="1" ht="15" customHeight="1">
      <c r="A28" s="437" t="s">
        <v>397</v>
      </c>
      <c r="B28" s="488">
        <f t="shared" si="2"/>
        <v>14906</v>
      </c>
      <c r="C28" s="488">
        <f t="shared" si="2"/>
        <v>1777</v>
      </c>
      <c r="D28" s="488">
        <f t="shared" si="2"/>
        <v>0</v>
      </c>
      <c r="E28" s="488">
        <f t="shared" si="2"/>
        <v>0</v>
      </c>
      <c r="F28" s="126">
        <f t="shared" si="2"/>
        <v>0</v>
      </c>
      <c r="G28" s="488">
        <f>SUM(B28:F28)</f>
        <v>16683</v>
      </c>
    </row>
    <row r="29" spans="1:7" s="24" customFormat="1" ht="15" customHeight="1" thickBot="1">
      <c r="A29" s="435" t="s">
        <v>386</v>
      </c>
      <c r="B29" s="557">
        <f aca="true" t="shared" si="3" ref="B29:G29">SUM(B26:B28)</f>
        <v>5345095</v>
      </c>
      <c r="C29" s="557">
        <f t="shared" si="3"/>
        <v>625758</v>
      </c>
      <c r="D29" s="557">
        <f t="shared" si="3"/>
        <v>-1730</v>
      </c>
      <c r="E29" s="557">
        <f t="shared" si="3"/>
        <v>-176</v>
      </c>
      <c r="F29" s="941">
        <f t="shared" si="3"/>
        <v>0</v>
      </c>
      <c r="G29" s="557">
        <f t="shared" si="3"/>
        <v>5968947</v>
      </c>
    </row>
    <row r="30" spans="2:7" s="14" customFormat="1" ht="15" customHeight="1" thickTop="1">
      <c r="B30" s="256"/>
      <c r="C30" s="256"/>
      <c r="D30" s="256"/>
      <c r="E30" s="256"/>
      <c r="F30" s="256"/>
      <c r="G30" s="256"/>
    </row>
    <row r="31" spans="1:7" s="14" customFormat="1" ht="9.75" customHeight="1">
      <c r="A31" s="997" t="s">
        <v>470</v>
      </c>
      <c r="B31" s="998"/>
      <c r="C31" s="998"/>
      <c r="D31" s="998"/>
      <c r="E31" s="997"/>
      <c r="F31" s="997"/>
      <c r="G31" s="997"/>
    </row>
    <row r="32" spans="1:7" s="14" customFormat="1" ht="9.75" customHeight="1">
      <c r="A32" s="997"/>
      <c r="B32" s="998"/>
      <c r="C32" s="998"/>
      <c r="D32" s="998"/>
      <c r="E32" s="997"/>
      <c r="F32" s="997"/>
      <c r="G32" s="997"/>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G57"/>
  <sheetViews>
    <sheetView zoomScale="75" zoomScaleNormal="75" workbookViewId="0" topLeftCell="A23">
      <selection activeCell="A37" sqref="A37"/>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258</v>
      </c>
      <c r="B1" s="425"/>
      <c r="C1" s="425"/>
      <c r="D1" s="425"/>
      <c r="E1" s="425"/>
      <c r="F1" s="425"/>
      <c r="G1" s="426"/>
    </row>
    <row r="2" spans="1:7" s="98" customFormat="1" ht="15" customHeight="1">
      <c r="A2" s="427"/>
      <c r="B2" s="428"/>
      <c r="C2" s="428"/>
      <c r="D2" s="428"/>
      <c r="E2" s="428"/>
      <c r="F2" s="428"/>
      <c r="G2" s="429"/>
    </row>
    <row r="3" spans="1:7" ht="15" customHeight="1">
      <c r="A3" s="886" t="s">
        <v>381</v>
      </c>
      <c r="B3" s="887"/>
      <c r="C3" s="887"/>
      <c r="D3" s="887"/>
      <c r="E3" s="887"/>
      <c r="F3" s="887"/>
      <c r="G3" s="888"/>
    </row>
    <row r="4" spans="1:7" ht="15" customHeight="1">
      <c r="A4" s="886" t="s">
        <v>482</v>
      </c>
      <c r="B4" s="887"/>
      <c r="C4" s="887"/>
      <c r="D4" s="887"/>
      <c r="E4" s="887"/>
      <c r="F4" s="887"/>
      <c r="G4" s="888"/>
    </row>
    <row r="5" spans="1:7" s="14" customFormat="1" ht="15" customHeight="1">
      <c r="A5" s="431"/>
      <c r="B5" s="432"/>
      <c r="C5" s="432"/>
      <c r="D5" s="432"/>
      <c r="E5" s="432"/>
      <c r="F5" s="432"/>
      <c r="G5" s="432"/>
    </row>
    <row r="6" spans="1:7" s="14" customFormat="1" ht="30" customHeight="1">
      <c r="A6" s="433" t="s">
        <v>80</v>
      </c>
      <c r="B6" s="375" t="s">
        <v>198</v>
      </c>
      <c r="C6" s="375" t="s">
        <v>42</v>
      </c>
      <c r="D6" s="375" t="s">
        <v>46</v>
      </c>
      <c r="E6" s="375" t="s">
        <v>147</v>
      </c>
      <c r="F6" s="375" t="s">
        <v>217</v>
      </c>
      <c r="G6" s="588" t="s">
        <v>259</v>
      </c>
    </row>
    <row r="7" spans="1:7" s="14" customFormat="1" ht="15" customHeight="1">
      <c r="A7" s="434" t="s">
        <v>382</v>
      </c>
      <c r="B7" s="374"/>
      <c r="C7" s="374"/>
      <c r="D7" s="374"/>
      <c r="E7" s="374"/>
      <c r="F7" s="374"/>
      <c r="G7" s="374"/>
    </row>
    <row r="8" spans="1:7" s="99" customFormat="1" ht="15" customHeight="1">
      <c r="A8" s="373" t="s">
        <v>451</v>
      </c>
      <c r="B8" s="479">
        <f>-'[13]TB @ 1-25-05'!E238</f>
        <v>18638532</v>
      </c>
      <c r="C8" s="479">
        <f>-'[13]TB @ 1-25-05'!E234</f>
        <v>-55792</v>
      </c>
      <c r="D8" s="479">
        <f>-'[13]TB @ 1-25-05'!E230</f>
        <v>-5540</v>
      </c>
      <c r="E8" s="479">
        <f>-'[13]TB @ 1-25-05'!E227</f>
        <v>-297</v>
      </c>
      <c r="F8" s="479">
        <f>-'[13]TB @ 1-25-05'!$F$221</f>
        <v>-350</v>
      </c>
      <c r="G8" s="479">
        <f>SUM(B8:F8)</f>
        <v>18576553</v>
      </c>
    </row>
    <row r="9" spans="1:7" s="14" customFormat="1" ht="15" customHeight="1">
      <c r="A9" s="373" t="s">
        <v>396</v>
      </c>
      <c r="B9" s="126">
        <f>-'[13]TB @ 1-25-05'!E239</f>
        <v>5338093</v>
      </c>
      <c r="C9" s="126">
        <f>-'[13]TB @ 1-25-05'!E235</f>
        <v>-20009</v>
      </c>
      <c r="D9" s="126">
        <f>-'[13]TB @ 1-25-05'!E231</f>
        <v>-1868</v>
      </c>
      <c r="E9" s="126">
        <f>-'[13]TB @ 1-25-05'!E228</f>
        <v>-129</v>
      </c>
      <c r="F9" s="126">
        <f>-'[13]TB @ 1-25-05'!$F$225</f>
        <v>-127</v>
      </c>
      <c r="G9" s="488">
        <f>SUM(B9:F9)</f>
        <v>5315960</v>
      </c>
    </row>
    <row r="10" spans="1:7" s="14" customFormat="1" ht="15" customHeight="1">
      <c r="A10" s="373" t="s">
        <v>397</v>
      </c>
      <c r="B10" s="126">
        <f>-'[13]TB @ 1-25-05'!E240</f>
        <v>66275</v>
      </c>
      <c r="C10" s="126">
        <f>-'[13]TB @ 1-25-05'!E236</f>
        <v>-481</v>
      </c>
      <c r="D10" s="126">
        <f>-'[13]TB @ 1-25-05'!E232</f>
        <v>-20</v>
      </c>
      <c r="E10" s="126">
        <v>0</v>
      </c>
      <c r="F10" s="126">
        <v>0</v>
      </c>
      <c r="G10" s="488">
        <f>SUM(B10:F10)</f>
        <v>65774</v>
      </c>
    </row>
    <row r="11" spans="1:7" s="24" customFormat="1" ht="15" customHeight="1" thickBot="1">
      <c r="A11" s="435" t="s">
        <v>386</v>
      </c>
      <c r="B11" s="138">
        <f aca="true" t="shared" si="0" ref="B11:G11">SUM(B8:B10)</f>
        <v>24042900</v>
      </c>
      <c r="C11" s="138">
        <f t="shared" si="0"/>
        <v>-76282</v>
      </c>
      <c r="D11" s="138">
        <f t="shared" si="0"/>
        <v>-7428</v>
      </c>
      <c r="E11" s="138">
        <f t="shared" si="0"/>
        <v>-426</v>
      </c>
      <c r="F11" s="138">
        <f t="shared" si="0"/>
        <v>-477</v>
      </c>
      <c r="G11" s="785">
        <f t="shared" si="0"/>
        <v>23958287</v>
      </c>
    </row>
    <row r="12" spans="1:7" s="24" customFormat="1" ht="15" customHeight="1" thickTop="1">
      <c r="A12" s="373"/>
      <c r="B12" s="126"/>
      <c r="C12" s="126"/>
      <c r="D12" s="126"/>
      <c r="E12" s="126"/>
      <c r="F12" s="126"/>
      <c r="G12" s="256"/>
    </row>
    <row r="13" spans="1:7" s="24" customFormat="1" ht="30" customHeight="1">
      <c r="A13" s="434" t="s">
        <v>490</v>
      </c>
      <c r="B13" s="126"/>
      <c r="C13" s="126"/>
      <c r="D13" s="126"/>
      <c r="E13" s="126"/>
      <c r="F13" s="126"/>
      <c r="G13" s="126"/>
    </row>
    <row r="14" spans="1:7" s="24" customFormat="1" ht="15" customHeight="1">
      <c r="A14" s="373" t="s">
        <v>451</v>
      </c>
      <c r="B14" s="126">
        <f>-'[13]TB @ 1-25-05'!E50</f>
        <v>9240740</v>
      </c>
      <c r="C14" s="126">
        <v>0</v>
      </c>
      <c r="D14" s="607">
        <v>0</v>
      </c>
      <c r="E14" s="607">
        <v>0</v>
      </c>
      <c r="F14" s="607">
        <v>0</v>
      </c>
      <c r="G14" s="488">
        <f>SUM(B14:F14)</f>
        <v>9240740</v>
      </c>
    </row>
    <row r="15" spans="1:7" s="24" customFormat="1" ht="15" customHeight="1">
      <c r="A15" s="373" t="s">
        <v>16</v>
      </c>
      <c r="B15" s="126">
        <f>-'[13]TB @ 1-25-05'!E51</f>
        <v>2646702</v>
      </c>
      <c r="C15" s="126">
        <v>0</v>
      </c>
      <c r="D15" s="126">
        <v>0</v>
      </c>
      <c r="E15" s="126">
        <v>0</v>
      </c>
      <c r="F15" s="126">
        <v>0</v>
      </c>
      <c r="G15" s="488">
        <f>SUM(B15:F15)</f>
        <v>2646702</v>
      </c>
    </row>
    <row r="16" spans="1:7" s="24" customFormat="1" ht="15" customHeight="1">
      <c r="A16" s="373" t="s">
        <v>409</v>
      </c>
      <c r="B16" s="126">
        <f>-'[13]TB @ 1-25-05'!E52</f>
        <v>32130</v>
      </c>
      <c r="C16" s="126">
        <v>0</v>
      </c>
      <c r="D16" s="126">
        <v>0</v>
      </c>
      <c r="E16" s="126">
        <v>0</v>
      </c>
      <c r="F16" s="126">
        <v>0</v>
      </c>
      <c r="G16" s="784">
        <f>SUM(B16:F16)</f>
        <v>32130</v>
      </c>
    </row>
    <row r="17" spans="1:7" s="24" customFormat="1" ht="15" customHeight="1" thickBot="1">
      <c r="A17" s="435" t="s">
        <v>386</v>
      </c>
      <c r="B17" s="138">
        <f>SUM(B14:B16)</f>
        <v>11919572</v>
      </c>
      <c r="C17" s="138">
        <f>SUM(C14:C16)</f>
        <v>0</v>
      </c>
      <c r="D17" s="138">
        <f>SUM(D14:D16)</f>
        <v>0</v>
      </c>
      <c r="E17" s="138">
        <f>SUM(E14:E16)</f>
        <v>0</v>
      </c>
      <c r="F17" s="138">
        <v>0</v>
      </c>
      <c r="G17" s="785">
        <f>SUM(G14:G16)</f>
        <v>11919572</v>
      </c>
    </row>
    <row r="18" spans="1:7" s="24" customFormat="1" ht="15" customHeight="1" thickTop="1">
      <c r="A18" s="373"/>
      <c r="B18" s="126"/>
      <c r="C18" s="126"/>
      <c r="D18" s="126"/>
      <c r="E18" s="126"/>
      <c r="F18" s="126"/>
      <c r="G18" s="256"/>
    </row>
    <row r="19" spans="1:7" s="24" customFormat="1" ht="30" customHeight="1">
      <c r="A19" s="434" t="s">
        <v>476</v>
      </c>
      <c r="B19" s="312"/>
      <c r="C19" s="312"/>
      <c r="D19" s="312"/>
      <c r="E19" s="312"/>
      <c r="F19" s="126"/>
      <c r="G19" s="126"/>
    </row>
    <row r="20" spans="1:7" s="24" customFormat="1" ht="15" customHeight="1">
      <c r="A20" s="373" t="s">
        <v>451</v>
      </c>
      <c r="B20" s="126">
        <v>0</v>
      </c>
      <c r="C20" s="126">
        <v>8106000</v>
      </c>
      <c r="D20" s="607">
        <v>0</v>
      </c>
      <c r="E20" s="607">
        <v>0</v>
      </c>
      <c r="F20" s="607">
        <v>0</v>
      </c>
      <c r="G20" s="488">
        <f>SUM(B20:F20)</f>
        <v>8106000</v>
      </c>
    </row>
    <row r="21" spans="1:7" s="24" customFormat="1" ht="15" customHeight="1">
      <c r="A21" s="373" t="s">
        <v>396</v>
      </c>
      <c r="B21" s="126">
        <v>0</v>
      </c>
      <c r="C21" s="126">
        <v>2607627</v>
      </c>
      <c r="D21" s="126">
        <v>0</v>
      </c>
      <c r="E21" s="126">
        <v>0</v>
      </c>
      <c r="F21" s="126">
        <v>0</v>
      </c>
      <c r="G21" s="488">
        <f>SUM(B21:F21)</f>
        <v>2607627</v>
      </c>
    </row>
    <row r="22" spans="1:7" s="24" customFormat="1" ht="15" customHeight="1">
      <c r="A22" s="373" t="s">
        <v>397</v>
      </c>
      <c r="B22" s="126">
        <v>0</v>
      </c>
      <c r="C22" s="126">
        <v>35860</v>
      </c>
      <c r="D22" s="126">
        <v>0</v>
      </c>
      <c r="E22" s="126">
        <v>0</v>
      </c>
      <c r="F22" s="126">
        <v>0</v>
      </c>
      <c r="G22" s="488">
        <f>SUM(B22:F22)</f>
        <v>35860</v>
      </c>
    </row>
    <row r="23" spans="1:7" s="24" customFormat="1" ht="15" customHeight="1" thickBot="1">
      <c r="A23" s="435" t="s">
        <v>386</v>
      </c>
      <c r="B23" s="138">
        <f>SUM(B20:B22)</f>
        <v>0</v>
      </c>
      <c r="C23" s="138">
        <f>SUM(C20:C22)</f>
        <v>10749487</v>
      </c>
      <c r="D23" s="138">
        <f>SUM(D20:D22)</f>
        <v>0</v>
      </c>
      <c r="E23" s="138">
        <f>SUM(E20:E22)</f>
        <v>0</v>
      </c>
      <c r="F23" s="138">
        <f>SUM(F20:F22)</f>
        <v>0</v>
      </c>
      <c r="G23" s="129">
        <f>SUM(C23:F23)</f>
        <v>10749487</v>
      </c>
    </row>
    <row r="24" spans="1:7" s="804" customFormat="1" ht="15" customHeight="1" thickTop="1">
      <c r="A24" s="436"/>
      <c r="B24" s="126"/>
      <c r="C24" s="126"/>
      <c r="D24" s="126"/>
      <c r="E24" s="889"/>
      <c r="F24" s="126"/>
      <c r="G24" s="803"/>
    </row>
    <row r="25" spans="1:7" s="24" customFormat="1" ht="15" customHeight="1">
      <c r="A25" s="434" t="s">
        <v>387</v>
      </c>
      <c r="B25" s="126"/>
      <c r="C25" s="126"/>
      <c r="D25" s="126"/>
      <c r="E25" s="126"/>
      <c r="F25" s="126"/>
      <c r="G25" s="126"/>
    </row>
    <row r="26" spans="1:7" s="24" customFormat="1" ht="15" customHeight="1">
      <c r="A26" s="373" t="s">
        <v>451</v>
      </c>
      <c r="B26" s="126">
        <f aca="true" t="shared" si="1" ref="B26:F28">B8-(B14-B20)</f>
        <v>9397792</v>
      </c>
      <c r="C26" s="126">
        <f t="shared" si="1"/>
        <v>8050208</v>
      </c>
      <c r="D26" s="126">
        <f t="shared" si="1"/>
        <v>-5540</v>
      </c>
      <c r="E26" s="126">
        <f t="shared" si="1"/>
        <v>-297</v>
      </c>
      <c r="F26" s="126">
        <f t="shared" si="1"/>
        <v>-350</v>
      </c>
      <c r="G26" s="488">
        <f>SUM(B26:F26)</f>
        <v>17441813</v>
      </c>
    </row>
    <row r="27" spans="1:7" s="24" customFormat="1" ht="15" customHeight="1">
      <c r="A27" s="373" t="s">
        <v>396</v>
      </c>
      <c r="B27" s="126">
        <f t="shared" si="1"/>
        <v>2691391</v>
      </c>
      <c r="C27" s="126">
        <f t="shared" si="1"/>
        <v>2587618</v>
      </c>
      <c r="D27" s="126">
        <f t="shared" si="1"/>
        <v>-1868</v>
      </c>
      <c r="E27" s="126">
        <f t="shared" si="1"/>
        <v>-129</v>
      </c>
      <c r="F27" s="126">
        <f t="shared" si="1"/>
        <v>-127</v>
      </c>
      <c r="G27" s="488">
        <f>SUM(B27:F27)</f>
        <v>5276885</v>
      </c>
    </row>
    <row r="28" spans="1:7" s="24" customFormat="1" ht="15" customHeight="1">
      <c r="A28" s="437" t="s">
        <v>397</v>
      </c>
      <c r="B28" s="488">
        <f t="shared" si="1"/>
        <v>34145</v>
      </c>
      <c r="C28" s="488">
        <f t="shared" si="1"/>
        <v>35379</v>
      </c>
      <c r="D28" s="488">
        <f t="shared" si="1"/>
        <v>-20</v>
      </c>
      <c r="E28" s="488">
        <f t="shared" si="1"/>
        <v>0</v>
      </c>
      <c r="F28" s="126">
        <f t="shared" si="1"/>
        <v>0</v>
      </c>
      <c r="G28" s="488">
        <f>SUM(B28:F28)</f>
        <v>69504</v>
      </c>
    </row>
    <row r="29" spans="1:7" s="24" customFormat="1" ht="15" customHeight="1" thickBot="1">
      <c r="A29" s="435" t="s">
        <v>386</v>
      </c>
      <c r="B29" s="557">
        <f aca="true" t="shared" si="2" ref="B29:G29">SUM(B26:B28)</f>
        <v>12123328</v>
      </c>
      <c r="C29" s="557">
        <f t="shared" si="2"/>
        <v>10673205</v>
      </c>
      <c r="D29" s="557">
        <f t="shared" si="2"/>
        <v>-7428</v>
      </c>
      <c r="E29" s="557">
        <f t="shared" si="2"/>
        <v>-426</v>
      </c>
      <c r="F29" s="557">
        <f t="shared" si="2"/>
        <v>-477</v>
      </c>
      <c r="G29" s="557">
        <f t="shared" si="2"/>
        <v>22788202</v>
      </c>
    </row>
    <row r="30" spans="1:7" s="24" customFormat="1" ht="15" customHeight="1" thickTop="1">
      <c r="A30" s="435"/>
      <c r="B30" s="480"/>
      <c r="C30" s="480"/>
      <c r="D30" s="480"/>
      <c r="E30" s="808"/>
      <c r="F30" s="808"/>
      <c r="G30" s="480"/>
    </row>
    <row r="31" spans="1:7" s="809" customFormat="1" ht="15" customHeight="1">
      <c r="A31" s="999" t="s">
        <v>492</v>
      </c>
      <c r="B31" s="999"/>
      <c r="C31" s="999"/>
      <c r="D31" s="999"/>
      <c r="E31" s="999"/>
      <c r="F31" s="999"/>
      <c r="G31" s="999"/>
    </row>
    <row r="32" spans="1:7" s="809" customFormat="1" ht="15" customHeight="1">
      <c r="A32" s="999"/>
      <c r="B32" s="999"/>
      <c r="C32" s="999"/>
      <c r="D32" s="999"/>
      <c r="E32" s="999"/>
      <c r="F32" s="999"/>
      <c r="G32" s="999"/>
    </row>
    <row r="33" spans="1:7" s="809" customFormat="1" ht="15" customHeight="1">
      <c r="A33" s="999"/>
      <c r="B33" s="999"/>
      <c r="C33" s="999"/>
      <c r="D33" s="999"/>
      <c r="E33" s="999"/>
      <c r="F33" s="999"/>
      <c r="G33" s="999"/>
    </row>
    <row r="34" spans="2:7" s="135" customFormat="1" ht="15" customHeight="1">
      <c r="B34" s="1000" t="s">
        <v>439</v>
      </c>
      <c r="C34" s="1000" t="s">
        <v>466</v>
      </c>
      <c r="E34" s="890"/>
      <c r="F34" s="1000" t="s">
        <v>439</v>
      </c>
      <c r="G34" s="1000" t="s">
        <v>466</v>
      </c>
    </row>
    <row r="35" spans="1:7" s="135" customFormat="1" ht="15" customHeight="1">
      <c r="A35" s="891" t="s">
        <v>324</v>
      </c>
      <c r="B35" s="1000"/>
      <c r="C35" s="1000"/>
      <c r="E35" s="892" t="s">
        <v>324</v>
      </c>
      <c r="F35" s="1000"/>
      <c r="G35" s="1000"/>
    </row>
    <row r="36" spans="1:7" s="135" customFormat="1" ht="15" customHeight="1">
      <c r="A36" s="893" t="s">
        <v>119</v>
      </c>
      <c r="B36" s="893">
        <v>1343200</v>
      </c>
      <c r="C36" s="893">
        <f>B36+478783</f>
        <v>1821983</v>
      </c>
      <c r="D36" s="894" t="s">
        <v>77</v>
      </c>
      <c r="E36" s="893">
        <v>516016</v>
      </c>
      <c r="F36" s="893">
        <v>1645690</v>
      </c>
      <c r="G36" s="893">
        <f>SUM(E36:F36)</f>
        <v>2161706</v>
      </c>
    </row>
    <row r="37" spans="1:7" s="135" customFormat="1" ht="15" customHeight="1">
      <c r="A37" s="893" t="s">
        <v>120</v>
      </c>
      <c r="B37" s="893">
        <v>1418672</v>
      </c>
      <c r="C37" s="893">
        <f>B37+487924</f>
        <v>1906596</v>
      </c>
      <c r="D37" s="894" t="s">
        <v>2</v>
      </c>
      <c r="E37" s="893">
        <f>'[12]2Q04'!$G$28</f>
        <v>504458</v>
      </c>
      <c r="F37" s="893">
        <f>'[11]Sheet1'!$F$15</f>
        <v>1739979</v>
      </c>
      <c r="G37" s="893">
        <f>SUM(E37:F37)</f>
        <v>2244437</v>
      </c>
    </row>
    <row r="38" spans="1:7" s="135" customFormat="1" ht="15" customHeight="1">
      <c r="A38" s="893" t="s">
        <v>121</v>
      </c>
      <c r="B38" s="893">
        <v>1518349</v>
      </c>
      <c r="C38" s="893">
        <f>B38+509815</f>
        <v>2028164</v>
      </c>
      <c r="D38" s="894" t="s">
        <v>1</v>
      </c>
      <c r="E38" s="893">
        <v>486228</v>
      </c>
      <c r="F38" s="893">
        <v>1876360</v>
      </c>
      <c r="G38" s="893">
        <f>SUM(E38:F38)</f>
        <v>2362588</v>
      </c>
    </row>
    <row r="39" spans="1:7" s="135" customFormat="1" ht="15" customHeight="1">
      <c r="A39" s="893" t="s">
        <v>122</v>
      </c>
      <c r="B39" s="893">
        <v>1585267</v>
      </c>
      <c r="C39" s="893">
        <f>B39+508338</f>
        <v>2093605</v>
      </c>
      <c r="D39" s="894" t="s">
        <v>491</v>
      </c>
      <c r="E39" s="893">
        <v>480810</v>
      </c>
      <c r="F39" s="893">
        <v>1957527</v>
      </c>
      <c r="G39" s="893">
        <f>SUM(E39:F39)</f>
        <v>2438337</v>
      </c>
    </row>
    <row r="40" spans="1:7" s="135" customFormat="1" ht="15" customHeight="1">
      <c r="A40" s="894"/>
      <c r="B40" s="895"/>
      <c r="C40" s="895"/>
      <c r="D40" s="895"/>
      <c r="E40" s="894"/>
      <c r="F40" s="896"/>
      <c r="G40" s="896"/>
    </row>
    <row r="41" spans="1:7" s="135" customFormat="1" ht="15" customHeight="1">
      <c r="A41" s="999" t="s">
        <v>442</v>
      </c>
      <c r="B41" s="999"/>
      <c r="C41" s="999"/>
      <c r="D41" s="999"/>
      <c r="E41" s="999"/>
      <c r="F41" s="999"/>
      <c r="G41" s="999"/>
    </row>
    <row r="42" spans="1:7" s="135" customFormat="1" ht="15" customHeight="1">
      <c r="A42" s="999"/>
      <c r="B42" s="999"/>
      <c r="C42" s="999"/>
      <c r="D42" s="999"/>
      <c r="E42" s="999"/>
      <c r="F42" s="999"/>
      <c r="G42" s="999"/>
    </row>
    <row r="43" spans="1:7" s="135" customFormat="1" ht="15" customHeight="1">
      <c r="A43" s="894"/>
      <c r="B43" s="895"/>
      <c r="C43" s="895"/>
      <c r="D43" s="895"/>
      <c r="E43" s="894"/>
      <c r="F43" s="896"/>
      <c r="G43" s="896"/>
    </row>
    <row r="44" spans="1:7" s="135" customFormat="1" ht="15" customHeight="1">
      <c r="A44" s="894"/>
      <c r="B44" s="895"/>
      <c r="C44" s="895"/>
      <c r="D44" s="895"/>
      <c r="E44" s="894"/>
      <c r="F44" s="896"/>
      <c r="G44" s="896"/>
    </row>
    <row r="45" spans="1:7" s="135" customFormat="1" ht="15" customHeight="1">
      <c r="A45" s="894"/>
      <c r="B45" s="895"/>
      <c r="C45" s="895"/>
      <c r="D45" s="895"/>
      <c r="E45" s="894"/>
      <c r="F45" s="896"/>
      <c r="G45" s="896"/>
    </row>
    <row r="46" spans="1:7" s="135" customFormat="1" ht="15" customHeight="1">
      <c r="A46" s="894"/>
      <c r="B46" s="895"/>
      <c r="C46" s="895"/>
      <c r="D46" s="895"/>
      <c r="E46" s="894"/>
      <c r="F46" s="896"/>
      <c r="G46" s="896"/>
    </row>
    <row r="47" spans="1:7" s="135" customFormat="1" ht="15" customHeight="1">
      <c r="A47" s="894"/>
      <c r="B47" s="895"/>
      <c r="C47" s="895"/>
      <c r="D47" s="895"/>
      <c r="E47" s="894"/>
      <c r="F47" s="896"/>
      <c r="G47" s="896"/>
    </row>
    <row r="48" spans="1:7" s="135" customFormat="1" ht="15" customHeight="1">
      <c r="A48" s="894"/>
      <c r="B48" s="895"/>
      <c r="C48" s="895"/>
      <c r="D48" s="895"/>
      <c r="E48" s="894"/>
      <c r="F48" s="896"/>
      <c r="G48" s="896"/>
    </row>
    <row r="49" spans="1:7" s="135" customFormat="1" ht="15" customHeight="1">
      <c r="A49" s="894"/>
      <c r="B49" s="895"/>
      <c r="C49" s="895"/>
      <c r="D49" s="895"/>
      <c r="E49" s="894"/>
      <c r="F49" s="896"/>
      <c r="G49" s="896"/>
    </row>
    <row r="50" spans="1:7" s="135" customFormat="1" ht="15" customHeight="1">
      <c r="A50" s="894"/>
      <c r="B50" s="895"/>
      <c r="C50" s="895"/>
      <c r="D50" s="895"/>
      <c r="E50" s="894"/>
      <c r="F50" s="896"/>
      <c r="G50" s="896"/>
    </row>
    <row r="51" spans="1:7" s="135" customFormat="1" ht="15" customHeight="1">
      <c r="A51" s="894"/>
      <c r="B51" s="895"/>
      <c r="C51" s="895"/>
      <c r="D51" s="895"/>
      <c r="E51" s="894"/>
      <c r="F51" s="896"/>
      <c r="G51" s="896"/>
    </row>
    <row r="52" spans="1:7" s="135" customFormat="1" ht="15" customHeight="1">
      <c r="A52" s="894"/>
      <c r="B52" s="895"/>
      <c r="C52" s="895"/>
      <c r="D52" s="895"/>
      <c r="E52" s="894"/>
      <c r="F52" s="896"/>
      <c r="G52" s="896"/>
    </row>
    <row r="53" spans="1:7" s="135" customFormat="1" ht="15" customHeight="1">
      <c r="A53" s="894"/>
      <c r="B53" s="895"/>
      <c r="C53" s="895"/>
      <c r="D53" s="895"/>
      <c r="E53" s="894"/>
      <c r="F53" s="896"/>
      <c r="G53" s="896"/>
    </row>
    <row r="54" spans="1:7" s="135" customFormat="1" ht="15" customHeight="1">
      <c r="A54" s="894"/>
      <c r="B54" s="895"/>
      <c r="C54" s="895"/>
      <c r="D54" s="895"/>
      <c r="E54" s="894"/>
      <c r="F54" s="896"/>
      <c r="G54" s="896"/>
    </row>
    <row r="55" spans="1:7" s="135" customFormat="1" ht="15" customHeight="1">
      <c r="A55" s="894"/>
      <c r="B55" s="895"/>
      <c r="C55" s="895"/>
      <c r="D55" s="895"/>
      <c r="E55" s="894"/>
      <c r="F55" s="896"/>
      <c r="G55" s="896"/>
    </row>
    <row r="56" spans="1:7" s="135" customFormat="1" ht="15" customHeight="1">
      <c r="A56" s="894"/>
      <c r="B56" s="895"/>
      <c r="C56" s="895"/>
      <c r="D56" s="895"/>
      <c r="E56" s="894"/>
      <c r="F56" s="896"/>
      <c r="G56" s="896"/>
    </row>
    <row r="57" spans="1:7" s="135" customFormat="1" ht="15" customHeight="1">
      <c r="A57" s="894"/>
      <c r="B57" s="895"/>
      <c r="C57" s="895"/>
      <c r="D57" s="895"/>
      <c r="E57" s="894"/>
      <c r="F57" s="896"/>
      <c r="G57" s="896"/>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K55"/>
  <sheetViews>
    <sheetView zoomScale="75" zoomScaleNormal="75" workbookViewId="0" topLeftCell="B23">
      <selection activeCell="G38" sqref="G38"/>
    </sheetView>
  </sheetViews>
  <sheetFormatPr defaultColWidth="9.140625" defaultRowHeight="15" customHeight="1"/>
  <cols>
    <col min="1" max="1" width="45.7109375" style="340" customWidth="1"/>
    <col min="2" max="2" width="17.140625" style="583" customWidth="1"/>
    <col min="3" max="3" width="17.8515625" style="583" customWidth="1"/>
    <col min="4" max="4" width="16.57421875" style="583" customWidth="1"/>
    <col min="5" max="5" width="17.7109375" style="584" customWidth="1"/>
    <col min="6" max="6" width="18.00390625" style="584" customWidth="1"/>
    <col min="7" max="7" width="20.7109375" style="584" customWidth="1"/>
    <col min="8" max="16384" width="15.7109375" style="340" customWidth="1"/>
  </cols>
  <sheetData>
    <row r="1" spans="1:7" s="365" customFormat="1" ht="30" customHeight="1">
      <c r="A1" s="897" t="s">
        <v>258</v>
      </c>
      <c r="B1" s="577"/>
      <c r="C1" s="577"/>
      <c r="D1" s="577"/>
      <c r="E1" s="578"/>
      <c r="F1" s="578"/>
      <c r="G1" s="579"/>
    </row>
    <row r="2" spans="1:7" s="166" customFormat="1" ht="15" customHeight="1">
      <c r="A2" s="886"/>
      <c r="B2" s="898"/>
      <c r="C2" s="898"/>
      <c r="D2" s="898"/>
      <c r="E2" s="899"/>
      <c r="F2" s="899"/>
      <c r="G2" s="898"/>
    </row>
    <row r="3" spans="1:7" s="166" customFormat="1" ht="15" customHeight="1">
      <c r="A3" s="900" t="s">
        <v>392</v>
      </c>
      <c r="B3" s="899"/>
      <c r="C3" s="899"/>
      <c r="D3" s="899"/>
      <c r="E3" s="901"/>
      <c r="F3" s="901"/>
      <c r="G3" s="898"/>
    </row>
    <row r="4" spans="1:7" s="166" customFormat="1" ht="15" customHeight="1">
      <c r="A4" s="900" t="s">
        <v>484</v>
      </c>
      <c r="B4" s="899"/>
      <c r="C4" s="899"/>
      <c r="D4" s="899"/>
      <c r="E4" s="901"/>
      <c r="F4" s="901"/>
      <c r="G4" s="898"/>
    </row>
    <row r="5" spans="1:7" s="366" customFormat="1" ht="15" customHeight="1">
      <c r="A5" s="453"/>
      <c r="B5" s="581"/>
      <c r="C5" s="581"/>
      <c r="D5" s="581"/>
      <c r="E5" s="580"/>
      <c r="F5" s="580"/>
      <c r="G5" s="582"/>
    </row>
    <row r="6" spans="1:7" ht="30" customHeight="1">
      <c r="A6" s="902" t="s">
        <v>80</v>
      </c>
      <c r="B6" s="903" t="s">
        <v>198</v>
      </c>
      <c r="C6" s="903" t="s">
        <v>42</v>
      </c>
      <c r="D6" s="903" t="s">
        <v>46</v>
      </c>
      <c r="E6" s="904" t="s">
        <v>147</v>
      </c>
      <c r="F6" s="904" t="s">
        <v>217</v>
      </c>
      <c r="G6" s="905" t="s">
        <v>259</v>
      </c>
    </row>
    <row r="7" spans="1:7" ht="15" customHeight="1">
      <c r="A7" s="906"/>
      <c r="B7" s="907"/>
      <c r="C7" s="907"/>
      <c r="D7" s="907"/>
      <c r="E7" s="907"/>
      <c r="F7" s="907"/>
      <c r="G7" s="907"/>
    </row>
    <row r="8" spans="1:7" ht="15" customHeight="1">
      <c r="A8" s="906" t="s">
        <v>393</v>
      </c>
      <c r="B8" s="907"/>
      <c r="C8" s="907"/>
      <c r="D8" s="907"/>
      <c r="E8" s="907"/>
      <c r="F8" s="907"/>
      <c r="G8" s="907"/>
    </row>
    <row r="9" spans="1:7" ht="15" customHeight="1">
      <c r="A9" s="906" t="s">
        <v>394</v>
      </c>
      <c r="B9" s="908"/>
      <c r="C9" s="908"/>
      <c r="D9" s="908"/>
      <c r="E9" s="908"/>
      <c r="F9" s="908"/>
      <c r="G9" s="908"/>
    </row>
    <row r="10" spans="1:7" ht="15" customHeight="1">
      <c r="A10" s="909" t="s">
        <v>395</v>
      </c>
      <c r="B10" s="479">
        <f>'[13]Loss Expenses QTD-16'!E34</f>
        <v>874363.5</v>
      </c>
      <c r="C10" s="479">
        <f>'[13]Loss Expenses QTD-16'!E28+'[13]TB @ 1-25-05'!C305</f>
        <v>1375563.61</v>
      </c>
      <c r="D10" s="479">
        <f>'[13]Loss Expenses QTD-16'!E22</f>
        <v>30716</v>
      </c>
      <c r="E10" s="910">
        <f>'[13]Loss Expenses QTD-16'!E16</f>
        <v>0</v>
      </c>
      <c r="F10" s="479">
        <f>'[13]Loss Expenses QTD-16'!E10+'[13]TB @ 1-25-05'!C295</f>
        <v>-500</v>
      </c>
      <c r="G10" s="479">
        <f>SUM(B10:F10)+1</f>
        <v>2280144.1100000003</v>
      </c>
    </row>
    <row r="11" spans="1:7" ht="15" customHeight="1">
      <c r="A11" s="909" t="s">
        <v>396</v>
      </c>
      <c r="B11" s="910">
        <f>'[13]Loss Expenses QTD-16'!E35</f>
        <v>155084.31</v>
      </c>
      <c r="C11" s="910">
        <f>'[13]Loss Expenses QTD-16'!E29</f>
        <v>141477.96</v>
      </c>
      <c r="D11" s="910">
        <f>'[13]Loss Expenses QTD-16'!E23+'[13]TB @ 1-25-05'!C303</f>
        <v>-7090.24</v>
      </c>
      <c r="E11" s="910">
        <f>'[13]Loss Expenses QTD-16'!E17+'[13]TB @ 1-25-05'!C301</f>
        <v>-17742</v>
      </c>
      <c r="F11" s="910">
        <f>'[13]Loss Expenses QTD-16'!E11+'[13]TB @ 1-25-05'!C298</f>
        <v>-19.38</v>
      </c>
      <c r="G11" s="910">
        <f>SUM(B11:F11)</f>
        <v>271710.65</v>
      </c>
    </row>
    <row r="12" spans="1:7" ht="15" customHeight="1">
      <c r="A12" s="909" t="s">
        <v>397</v>
      </c>
      <c r="B12" s="910">
        <f>'[13]Loss Expenses QTD-16'!E36</f>
        <v>0</v>
      </c>
      <c r="C12" s="910">
        <f>'[13]Loss Expenses QTD-16'!E30</f>
        <v>0</v>
      </c>
      <c r="D12" s="910">
        <f>'[13]Loss Expenses QTD-16'!E24</f>
        <v>0</v>
      </c>
      <c r="E12" s="910">
        <f>'[13]Loss Expenses QTD-16'!E18</f>
        <v>0</v>
      </c>
      <c r="F12" s="910">
        <f>'[13]Loss Expenses QTD-16'!E12</f>
        <v>0</v>
      </c>
      <c r="G12" s="910">
        <f>SUM(B12:F12)</f>
        <v>0</v>
      </c>
    </row>
    <row r="13" spans="1:7" ht="15" customHeight="1" thickBot="1">
      <c r="A13" s="455" t="s">
        <v>386</v>
      </c>
      <c r="B13" s="871">
        <f aca="true" t="shared" si="0" ref="B13:G13">SUM(B10:B12)</f>
        <v>1029447.81</v>
      </c>
      <c r="C13" s="871">
        <f t="shared" si="0"/>
        <v>1517041.57</v>
      </c>
      <c r="D13" s="871">
        <f t="shared" si="0"/>
        <v>23625.760000000002</v>
      </c>
      <c r="E13" s="911">
        <f t="shared" si="0"/>
        <v>-17742</v>
      </c>
      <c r="F13" s="911">
        <f t="shared" si="0"/>
        <v>-519.38</v>
      </c>
      <c r="G13" s="912">
        <f t="shared" si="0"/>
        <v>2551854.7600000002</v>
      </c>
    </row>
    <row r="14" spans="1:7" ht="15" customHeight="1" thickTop="1">
      <c r="A14" s="909"/>
      <c r="B14" s="913"/>
      <c r="C14" s="913"/>
      <c r="D14" s="913"/>
      <c r="E14" s="910"/>
      <c r="F14" s="910"/>
      <c r="G14" s="910"/>
    </row>
    <row r="15" spans="1:7" ht="15" customHeight="1">
      <c r="A15" s="906" t="s">
        <v>487</v>
      </c>
      <c r="B15" s="913"/>
      <c r="C15" s="913"/>
      <c r="D15" s="913"/>
      <c r="E15" s="910"/>
      <c r="F15" s="910"/>
      <c r="G15" s="910"/>
    </row>
    <row r="16" spans="1:7" ht="15" customHeight="1">
      <c r="A16" s="909" t="s">
        <v>398</v>
      </c>
      <c r="B16" s="910">
        <f>'Losses Incurred YTD-10'!B16</f>
        <v>3142158.12</v>
      </c>
      <c r="C16" s="910">
        <f>'Losses Incurred YTD-10'!C16</f>
        <v>1159351.77</v>
      </c>
      <c r="D16" s="910">
        <f>'Losses Incurred YTD-10'!D16</f>
        <v>96839.08</v>
      </c>
      <c r="E16" s="910">
        <f>'Losses Incurred YTD-10'!E16</f>
        <v>85000</v>
      </c>
      <c r="F16" s="910">
        <f>'Losses Incurred YTD-10'!F16</f>
        <v>17037.82</v>
      </c>
      <c r="G16" s="910">
        <f>SUM(B16:F16)</f>
        <v>4500386.790000001</v>
      </c>
    </row>
    <row r="17" spans="1:7" ht="15" customHeight="1">
      <c r="A17" s="909" t="s">
        <v>399</v>
      </c>
      <c r="B17" s="910">
        <f>'Losses Incurred YTD-10'!B17</f>
        <v>337335</v>
      </c>
      <c r="C17" s="910">
        <f>'Losses Incurred YTD-10'!C17</f>
        <v>128078.97</v>
      </c>
      <c r="D17" s="910">
        <f>'Losses Incurred YTD-10'!D17</f>
        <v>9660.92</v>
      </c>
      <c r="E17" s="910">
        <f>'Losses Incurred YTD-10'!E17</f>
        <v>0</v>
      </c>
      <c r="F17" s="910">
        <f>'Losses Incurred YTD-10'!F17</f>
        <v>0</v>
      </c>
      <c r="G17" s="910">
        <f>SUM(B17:F17)</f>
        <v>475074.88999999996</v>
      </c>
    </row>
    <row r="18" spans="1:7" ht="15" customHeight="1">
      <c r="A18" s="909" t="s">
        <v>400</v>
      </c>
      <c r="B18" s="910">
        <f>'Losses Incurred YTD-10'!B18</f>
        <v>0</v>
      </c>
      <c r="C18" s="910">
        <f>'Losses Incurred YTD-10'!C18</f>
        <v>0</v>
      </c>
      <c r="D18" s="910">
        <f>'Losses Incurred YTD-10'!D18</f>
        <v>0</v>
      </c>
      <c r="E18" s="910">
        <f>'Losses Incurred YTD-10'!E18</f>
        <v>0</v>
      </c>
      <c r="F18" s="910">
        <f>'Losses Incurred YTD-10'!F18</f>
        <v>0</v>
      </c>
      <c r="G18" s="910">
        <f>SUM(B18:F18)</f>
        <v>0</v>
      </c>
    </row>
    <row r="19" spans="1:7" ht="15" customHeight="1" thickBot="1">
      <c r="A19" s="455" t="s">
        <v>386</v>
      </c>
      <c r="B19" s="871">
        <f aca="true" t="shared" si="1" ref="B19:G19">SUM(B16:B18)</f>
        <v>3479493.12</v>
      </c>
      <c r="C19" s="871">
        <f t="shared" si="1"/>
        <v>1287430.74</v>
      </c>
      <c r="D19" s="871">
        <f t="shared" si="1"/>
        <v>106500</v>
      </c>
      <c r="E19" s="911">
        <f t="shared" si="1"/>
        <v>85000</v>
      </c>
      <c r="F19" s="911">
        <f t="shared" si="1"/>
        <v>17037.82</v>
      </c>
      <c r="G19" s="912">
        <f t="shared" si="1"/>
        <v>4975461.680000001</v>
      </c>
    </row>
    <row r="20" spans="1:7" ht="15" customHeight="1" thickTop="1">
      <c r="A20" s="455"/>
      <c r="B20" s="867"/>
      <c r="C20" s="867"/>
      <c r="D20" s="867"/>
      <c r="E20" s="914"/>
      <c r="F20" s="914"/>
      <c r="G20" s="915"/>
    </row>
    <row r="21" spans="1:11" ht="15" customHeight="1">
      <c r="A21" s="906" t="s">
        <v>488</v>
      </c>
      <c r="B21" s="916"/>
      <c r="C21" s="916"/>
      <c r="D21" s="916"/>
      <c r="E21" s="916"/>
      <c r="F21" s="916"/>
      <c r="G21" s="917"/>
      <c r="H21" s="584"/>
      <c r="I21" s="584"/>
      <c r="J21" s="584"/>
      <c r="K21" s="918"/>
    </row>
    <row r="22" spans="1:11" ht="15" customHeight="1">
      <c r="A22" s="909" t="s">
        <v>398</v>
      </c>
      <c r="B22" s="910">
        <f>'Losses Incurred YTD-10'!B22</f>
        <v>1131729.12</v>
      </c>
      <c r="C22" s="910">
        <f>'Losses Incurred YTD-10'!C22</f>
        <v>90118.22</v>
      </c>
      <c r="D22" s="910">
        <f>'Losses Incurred YTD-10'!D22</f>
        <v>113143.51</v>
      </c>
      <c r="E22" s="910">
        <f>'Losses Incurred YTD-10'!E22</f>
        <v>59281</v>
      </c>
      <c r="F22" s="910">
        <f>'Losses Incurred YTD-10'!F22</f>
        <v>0</v>
      </c>
      <c r="G22" s="910">
        <f>SUM(B22:F22)</f>
        <v>1394271.85</v>
      </c>
      <c r="H22" s="584"/>
      <c r="I22" s="584"/>
      <c r="J22" s="584"/>
      <c r="K22" s="918"/>
    </row>
    <row r="23" spans="1:11" ht="15" customHeight="1">
      <c r="A23" s="909" t="s">
        <v>399</v>
      </c>
      <c r="B23" s="910">
        <f>'Losses Incurred YTD-10'!B23</f>
        <v>121499.88</v>
      </c>
      <c r="C23" s="910">
        <f>'Losses Incurred YTD-10'!C23</f>
        <v>9955.78</v>
      </c>
      <c r="D23" s="910">
        <f>'Losses Incurred YTD-10'!D23</f>
        <v>11287.49</v>
      </c>
      <c r="E23" s="910">
        <f>'Losses Incurred YTD-10'!E23</f>
        <v>0</v>
      </c>
      <c r="F23" s="910">
        <f>'Losses Incurred YTD-10'!F23</f>
        <v>0</v>
      </c>
      <c r="G23" s="910">
        <f>SUM(B23:F23)</f>
        <v>142743.15</v>
      </c>
      <c r="H23" s="584"/>
      <c r="I23" s="584"/>
      <c r="J23" s="584"/>
      <c r="K23" s="918"/>
    </row>
    <row r="24" spans="1:11" ht="15" customHeight="1">
      <c r="A24" s="909" t="s">
        <v>400</v>
      </c>
      <c r="B24" s="910">
        <f>'Losses Incurred YTD-10'!B24</f>
        <v>0</v>
      </c>
      <c r="C24" s="910">
        <f>'Losses Incurred YTD-10'!C24</f>
        <v>0</v>
      </c>
      <c r="D24" s="910">
        <f>'Losses Incurred YTD-10'!D24</f>
        <v>0</v>
      </c>
      <c r="E24" s="910">
        <f>'Losses Incurred YTD-10'!E24</f>
        <v>0</v>
      </c>
      <c r="F24" s="910">
        <f>'Losses Incurred YTD-10'!F24</f>
        <v>0</v>
      </c>
      <c r="G24" s="910">
        <f>SUM(B24:F24)</f>
        <v>0</v>
      </c>
      <c r="H24" s="584"/>
      <c r="I24" s="584"/>
      <c r="J24" s="584"/>
      <c r="K24" s="918"/>
    </row>
    <row r="25" spans="1:11" ht="15" customHeight="1" thickBot="1">
      <c r="A25" s="455" t="s">
        <v>386</v>
      </c>
      <c r="B25" s="871">
        <f aca="true" t="shared" si="2" ref="B25:G25">SUM(B22:B24)</f>
        <v>1253229</v>
      </c>
      <c r="C25" s="871">
        <f t="shared" si="2"/>
        <v>100074</v>
      </c>
      <c r="D25" s="871">
        <f t="shared" si="2"/>
        <v>124431</v>
      </c>
      <c r="E25" s="911">
        <f t="shared" si="2"/>
        <v>59281</v>
      </c>
      <c r="F25" s="911">
        <f t="shared" si="2"/>
        <v>0</v>
      </c>
      <c r="G25" s="912">
        <f t="shared" si="2"/>
        <v>1537015</v>
      </c>
      <c r="H25" s="584"/>
      <c r="I25" s="584"/>
      <c r="J25" s="584"/>
      <c r="K25" s="918"/>
    </row>
    <row r="26" spans="1:7" ht="15" customHeight="1" thickTop="1">
      <c r="A26" s="909"/>
      <c r="B26" s="913"/>
      <c r="C26" s="913"/>
      <c r="D26" s="913"/>
      <c r="E26" s="910"/>
      <c r="F26" s="910"/>
      <c r="G26" s="910"/>
    </row>
    <row r="27" spans="1:7" ht="15" customHeight="1">
      <c r="A27" s="906" t="s">
        <v>489</v>
      </c>
      <c r="B27" s="919"/>
      <c r="C27" s="919"/>
      <c r="D27" s="919"/>
      <c r="E27" s="910"/>
      <c r="F27" s="910"/>
      <c r="G27" s="910"/>
    </row>
    <row r="28" spans="1:7" ht="15" customHeight="1">
      <c r="A28" s="906" t="s">
        <v>467</v>
      </c>
      <c r="B28" s="919"/>
      <c r="C28" s="919"/>
      <c r="D28" s="919"/>
      <c r="E28" s="910"/>
      <c r="F28" s="910"/>
      <c r="G28" s="910"/>
    </row>
    <row r="29" spans="1:7" ht="15" customHeight="1">
      <c r="A29" s="909" t="s">
        <v>398</v>
      </c>
      <c r="B29" s="913">
        <v>2062943.82</v>
      </c>
      <c r="C29" s="913">
        <v>3420625.76</v>
      </c>
      <c r="D29" s="913">
        <v>138499.04</v>
      </c>
      <c r="E29" s="913">
        <v>150399.61</v>
      </c>
      <c r="F29" s="913">
        <v>67036.82</v>
      </c>
      <c r="G29" s="910">
        <f>SUM(B29:F29)+1</f>
        <v>5839506.050000001</v>
      </c>
    </row>
    <row r="30" spans="1:7" ht="15" customHeight="1">
      <c r="A30" s="909" t="s">
        <v>399</v>
      </c>
      <c r="B30" s="913">
        <v>297233.1</v>
      </c>
      <c r="C30" s="913">
        <v>232364.06</v>
      </c>
      <c r="D30" s="913">
        <v>13117.25</v>
      </c>
      <c r="E30" s="913">
        <v>715.08</v>
      </c>
      <c r="F30" s="913">
        <v>0</v>
      </c>
      <c r="G30" s="910">
        <f>SUM(B30:F30)</f>
        <v>543429.4899999999</v>
      </c>
    </row>
    <row r="31" spans="1:7" ht="15" customHeight="1">
      <c r="A31" s="909" t="s">
        <v>400</v>
      </c>
      <c r="B31" s="913">
        <v>3575.38</v>
      </c>
      <c r="C31" s="913">
        <v>0</v>
      </c>
      <c r="D31" s="913">
        <v>0</v>
      </c>
      <c r="E31" s="913">
        <v>0</v>
      </c>
      <c r="F31" s="913">
        <v>0</v>
      </c>
      <c r="G31" s="910">
        <f>SUM(B31:F31)</f>
        <v>3575.38</v>
      </c>
    </row>
    <row r="32" spans="1:7" ht="15" customHeight="1" thickBot="1">
      <c r="A32" s="455" t="s">
        <v>386</v>
      </c>
      <c r="B32" s="871">
        <f>SUM(B29:B31)</f>
        <v>2363752.3</v>
      </c>
      <c r="C32" s="871">
        <f>SUM(C29:C31)</f>
        <v>3652989.82</v>
      </c>
      <c r="D32" s="871">
        <f>SUM(D29:D31)</f>
        <v>151616.29</v>
      </c>
      <c r="E32" s="911">
        <f>SUM(E29:E31)</f>
        <v>151114.68999999997</v>
      </c>
      <c r="F32" s="911">
        <f>SUM(F29:F31)</f>
        <v>67036.82</v>
      </c>
      <c r="G32" s="912">
        <f>SUM(G29:G31)-1</f>
        <v>6386509.920000001</v>
      </c>
    </row>
    <row r="33" spans="1:8" s="921" customFormat="1" ht="15" customHeight="1" thickTop="1">
      <c r="A33" s="920"/>
      <c r="B33" s="919"/>
      <c r="C33" s="919"/>
      <c r="D33" s="919"/>
      <c r="E33" s="919"/>
      <c r="F33" s="919"/>
      <c r="G33" s="919"/>
      <c r="H33" s="340"/>
    </row>
    <row r="34" spans="1:7" ht="15" customHeight="1">
      <c r="A34" s="906" t="s">
        <v>401</v>
      </c>
      <c r="B34" s="913"/>
      <c r="C34" s="913"/>
      <c r="D34" s="913"/>
      <c r="E34" s="910"/>
      <c r="F34" s="910"/>
      <c r="G34" s="910"/>
    </row>
    <row r="35" spans="1:7" ht="15" customHeight="1">
      <c r="A35" s="909" t="s">
        <v>398</v>
      </c>
      <c r="B35" s="910">
        <f>B10+(B16+B22-B29)</f>
        <v>3085306.92</v>
      </c>
      <c r="C35" s="910">
        <f aca="true" t="shared" si="3" ref="B35:F37">C10+(C16+C22-C29)</f>
        <v>-795592.1599999995</v>
      </c>
      <c r="D35" s="910">
        <f>D10+(D16+D22-D29)</f>
        <v>102199.54999999999</v>
      </c>
      <c r="E35" s="910">
        <f t="shared" si="3"/>
        <v>-6118.609999999986</v>
      </c>
      <c r="F35" s="910">
        <f>F10+(F16+F22-F29)</f>
        <v>-50499.00000000001</v>
      </c>
      <c r="G35" s="910">
        <f>SUM(B35:F35)</f>
        <v>2335296.7000000007</v>
      </c>
    </row>
    <row r="36" spans="1:7" ht="15" customHeight="1">
      <c r="A36" s="909" t="s">
        <v>399</v>
      </c>
      <c r="B36" s="910">
        <f>B11+(B17+B23-B30)</f>
        <v>316686.09</v>
      </c>
      <c r="C36" s="910">
        <f>C11+(C17+C23-C30)</f>
        <v>47148.649999999994</v>
      </c>
      <c r="D36" s="910">
        <f>D11+(D17+D23-D30)</f>
        <v>740.9200000000001</v>
      </c>
      <c r="E36" s="910">
        <f t="shared" si="3"/>
        <v>-18457.08</v>
      </c>
      <c r="F36" s="910">
        <f t="shared" si="3"/>
        <v>-19.38</v>
      </c>
      <c r="G36" s="910">
        <f>SUM(B36:F36)+1</f>
        <v>346100.19999999995</v>
      </c>
    </row>
    <row r="37" spans="1:7" ht="15" customHeight="1">
      <c r="A37" s="909" t="s">
        <v>400</v>
      </c>
      <c r="B37" s="910">
        <f t="shared" si="3"/>
        <v>-3575.38</v>
      </c>
      <c r="C37" s="910">
        <f t="shared" si="3"/>
        <v>0</v>
      </c>
      <c r="D37" s="910">
        <f t="shared" si="3"/>
        <v>0</v>
      </c>
      <c r="E37" s="910">
        <f t="shared" si="3"/>
        <v>0</v>
      </c>
      <c r="F37" s="910">
        <f t="shared" si="3"/>
        <v>0</v>
      </c>
      <c r="G37" s="910">
        <f>SUM(B37:F37)</f>
        <v>-3575.38</v>
      </c>
    </row>
    <row r="38" spans="1:8" ht="15" customHeight="1" thickBot="1">
      <c r="A38" s="455" t="s">
        <v>386</v>
      </c>
      <c r="B38" s="922">
        <f aca="true" t="shared" si="4" ref="B38:G38">SUM(B35:B37)</f>
        <v>3398417.63</v>
      </c>
      <c r="C38" s="922">
        <f>SUM(C35:C37)+1</f>
        <v>-748442.5099999994</v>
      </c>
      <c r="D38" s="922">
        <f>SUM(D35:D37)+1</f>
        <v>102941.46999999999</v>
      </c>
      <c r="E38" s="922">
        <f t="shared" si="4"/>
        <v>-24575.689999999988</v>
      </c>
      <c r="F38" s="922">
        <f t="shared" si="4"/>
        <v>-50518.380000000005</v>
      </c>
      <c r="G38" s="922">
        <f t="shared" si="4"/>
        <v>2677821.5200000005</v>
      </c>
      <c r="H38" s="825"/>
    </row>
    <row r="39" spans="1:8" ht="15" customHeight="1" thickTop="1">
      <c r="A39" s="371"/>
      <c r="B39" s="916"/>
      <c r="C39" s="916"/>
      <c r="D39" s="916"/>
      <c r="G39" s="923"/>
      <c r="H39" s="918"/>
    </row>
    <row r="40" spans="1:7" s="805" customFormat="1" ht="15" customHeight="1">
      <c r="A40" s="805" t="s">
        <v>468</v>
      </c>
      <c r="B40" s="806"/>
      <c r="C40" s="806"/>
      <c r="D40" s="806"/>
      <c r="E40" s="807"/>
      <c r="F40" s="807"/>
      <c r="G40" s="807"/>
    </row>
    <row r="41" spans="2:4" ht="15" customHeight="1">
      <c r="B41" s="907"/>
      <c r="C41" s="907"/>
      <c r="D41" s="907"/>
    </row>
    <row r="42" spans="2:4" ht="15" customHeight="1">
      <c r="B42" s="907"/>
      <c r="C42" s="907"/>
      <c r="D42" s="907"/>
    </row>
    <row r="43" spans="2:4" ht="15" customHeight="1">
      <c r="B43" s="907"/>
      <c r="C43" s="907"/>
      <c r="D43" s="907"/>
    </row>
    <row r="44" spans="2:4" ht="15" customHeight="1">
      <c r="B44" s="907"/>
      <c r="C44" s="907"/>
      <c r="D44" s="907"/>
    </row>
    <row r="45" spans="2:4" ht="15" customHeight="1">
      <c r="B45" s="907"/>
      <c r="C45" s="907"/>
      <c r="D45" s="907"/>
    </row>
    <row r="46" spans="2:4" ht="15" customHeight="1">
      <c r="B46" s="907"/>
      <c r="C46" s="907"/>
      <c r="D46" s="907"/>
    </row>
    <row r="47" spans="2:4" ht="15" customHeight="1">
      <c r="B47" s="907"/>
      <c r="C47" s="907"/>
      <c r="D47" s="907"/>
    </row>
    <row r="48" spans="2:4" ht="15" customHeight="1">
      <c r="B48" s="907"/>
      <c r="C48" s="907"/>
      <c r="D48" s="907"/>
    </row>
    <row r="49" spans="2:4" ht="15" customHeight="1">
      <c r="B49" s="907"/>
      <c r="C49" s="907"/>
      <c r="D49" s="907"/>
    </row>
    <row r="50" spans="2:4" ht="15" customHeight="1">
      <c r="B50" s="907"/>
      <c r="C50" s="907"/>
      <c r="D50" s="907"/>
    </row>
    <row r="51" spans="2:4" ht="15" customHeight="1">
      <c r="B51" s="907"/>
      <c r="C51" s="907"/>
      <c r="D51" s="907"/>
    </row>
    <row r="52" spans="2:4" ht="15" customHeight="1">
      <c r="B52" s="907"/>
      <c r="C52" s="907"/>
      <c r="D52" s="907"/>
    </row>
    <row r="53" spans="2:4" ht="15" customHeight="1">
      <c r="B53" s="907"/>
      <c r="C53" s="907"/>
      <c r="D53" s="907"/>
    </row>
    <row r="54" spans="2:4" ht="15" customHeight="1">
      <c r="B54" s="907"/>
      <c r="C54" s="907"/>
      <c r="D54" s="907"/>
    </row>
    <row r="55" spans="2:4" ht="15" customHeight="1">
      <c r="B55" s="907"/>
      <c r="C55" s="907"/>
      <c r="D55" s="907"/>
    </row>
  </sheetData>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J40"/>
  <sheetViews>
    <sheetView zoomScale="75" zoomScaleNormal="75" workbookViewId="0" topLeftCell="B17">
      <selection activeCell="G39" sqref="G39"/>
    </sheetView>
  </sheetViews>
  <sheetFormatPr defaultColWidth="9.140625" defaultRowHeight="15" customHeight="1"/>
  <cols>
    <col min="1" max="1" width="45.7109375" style="340" customWidth="1"/>
    <col min="2" max="2" width="17.421875" style="583" customWidth="1"/>
    <col min="3" max="3" width="17.8515625" style="583" customWidth="1"/>
    <col min="4" max="4" width="17.7109375" style="583" customWidth="1"/>
    <col min="5" max="5" width="18.28125" style="584" customWidth="1"/>
    <col min="6" max="6" width="18.8515625" style="584" customWidth="1"/>
    <col min="7" max="7" width="20.7109375" style="584" customWidth="1"/>
    <col min="8" max="16384" width="15.7109375" style="340" customWidth="1"/>
  </cols>
  <sheetData>
    <row r="1" spans="1:7" s="365" customFormat="1" ht="30" customHeight="1">
      <c r="A1" s="897" t="s">
        <v>258</v>
      </c>
      <c r="B1" s="577"/>
      <c r="C1" s="577"/>
      <c r="D1" s="577"/>
      <c r="E1" s="578"/>
      <c r="F1" s="578"/>
      <c r="G1" s="579"/>
    </row>
    <row r="2" spans="1:7" s="166" customFormat="1" ht="15" customHeight="1">
      <c r="A2" s="886"/>
      <c r="B2" s="898"/>
      <c r="C2" s="898"/>
      <c r="D2" s="898"/>
      <c r="E2" s="899"/>
      <c r="F2" s="899"/>
      <c r="G2" s="898"/>
    </row>
    <row r="3" spans="1:7" s="166" customFormat="1" ht="15" customHeight="1">
      <c r="A3" s="900" t="s">
        <v>392</v>
      </c>
      <c r="B3" s="899"/>
      <c r="C3" s="899"/>
      <c r="D3" s="899"/>
      <c r="E3" s="901"/>
      <c r="F3" s="901"/>
      <c r="G3" s="898"/>
    </row>
    <row r="4" spans="1:7" s="166" customFormat="1" ht="15" customHeight="1">
      <c r="A4" s="900" t="s">
        <v>482</v>
      </c>
      <c r="B4" s="899"/>
      <c r="C4" s="899"/>
      <c r="D4" s="899"/>
      <c r="E4" s="901"/>
      <c r="F4" s="901"/>
      <c r="G4" s="898"/>
    </row>
    <row r="5" spans="1:7" s="366" customFormat="1" ht="15" customHeight="1">
      <c r="A5" s="453"/>
      <c r="B5" s="581"/>
      <c r="C5" s="581"/>
      <c r="D5" s="581"/>
      <c r="E5" s="580"/>
      <c r="F5" s="580"/>
      <c r="G5" s="582"/>
    </row>
    <row r="6" spans="1:7" ht="30" customHeight="1">
      <c r="A6" s="902" t="s">
        <v>80</v>
      </c>
      <c r="B6" s="903" t="s">
        <v>198</v>
      </c>
      <c r="C6" s="903" t="s">
        <v>42</v>
      </c>
      <c r="D6" s="903" t="s">
        <v>46</v>
      </c>
      <c r="E6" s="904" t="s">
        <v>147</v>
      </c>
      <c r="F6" s="904" t="s">
        <v>217</v>
      </c>
      <c r="G6" s="905" t="s">
        <v>259</v>
      </c>
    </row>
    <row r="7" spans="1:7" ht="15" customHeight="1">
      <c r="A7" s="906"/>
      <c r="B7" s="907"/>
      <c r="C7" s="907"/>
      <c r="D7" s="907"/>
      <c r="E7" s="907"/>
      <c r="F7" s="907"/>
      <c r="G7" s="907"/>
    </row>
    <row r="8" spans="1:7" ht="15" customHeight="1">
      <c r="A8" s="906" t="s">
        <v>393</v>
      </c>
      <c r="B8" s="907"/>
      <c r="C8" s="907"/>
      <c r="D8" s="907"/>
      <c r="E8" s="907"/>
      <c r="F8" s="907"/>
      <c r="G8" s="907"/>
    </row>
    <row r="9" spans="1:7" ht="15" customHeight="1">
      <c r="A9" s="906" t="s">
        <v>394</v>
      </c>
      <c r="B9" s="908"/>
      <c r="C9" s="908"/>
      <c r="D9" s="908"/>
      <c r="E9" s="908"/>
      <c r="F9" s="908"/>
      <c r="G9" s="908"/>
    </row>
    <row r="10" spans="1:7" ht="15" customHeight="1">
      <c r="A10" s="909" t="s">
        <v>395</v>
      </c>
      <c r="B10" s="479">
        <f>'[13]Loss Expenses YTD-17'!E34</f>
        <v>1570145.04</v>
      </c>
      <c r="C10" s="479">
        <f>'[13]Loss Expenses YTD-17'!E28+'[13]TB @ 1-25-05'!E305</f>
        <v>7346517.7700000005</v>
      </c>
      <c r="D10" s="479">
        <f>'[13]Loss Expenses YTD-17'!E22</f>
        <v>1724131.81</v>
      </c>
      <c r="E10" s="479">
        <f>'[13]Loss Expenses YTD-17'!E16+'[13]TB @ 1-25-05'!E300</f>
        <v>-5674.74</v>
      </c>
      <c r="F10" s="479">
        <f>'[13]Loss Expenses YTD-17'!E10+'[13]TB @ 1-25-05'!F296</f>
        <v>98784.84999999999</v>
      </c>
      <c r="G10" s="479">
        <f>SUM(B10:F10)</f>
        <v>10733904.73</v>
      </c>
    </row>
    <row r="11" spans="1:7" ht="15" customHeight="1">
      <c r="A11" s="909" t="s">
        <v>396</v>
      </c>
      <c r="B11" s="910">
        <f>'[13]Loss Expenses YTD-17'!E35</f>
        <v>357160.34</v>
      </c>
      <c r="C11" s="910">
        <f>'[13]Loss Expenses YTD-17'!E29+'[13]TB @ 1-25-05'!E306</f>
        <v>1424653.7200000002</v>
      </c>
      <c r="D11" s="910">
        <f>'[13]Loss Expenses YTD-17'!E23+'[13]TB @ 1-25-05'!E303</f>
        <v>169926.1</v>
      </c>
      <c r="E11" s="910">
        <f>'[13]Loss Expenses YTD-17'!E17+'[13]TB @ 1-25-05'!E301</f>
        <v>-11989.11</v>
      </c>
      <c r="F11" s="910">
        <f>'[13]Loss Expenses YTD-17'!E11+'[13]TB @ 1-25-05'!F298</f>
        <v>-76.02</v>
      </c>
      <c r="G11" s="910">
        <f>SUM(B11:F11)</f>
        <v>1939675.0300000003</v>
      </c>
    </row>
    <row r="12" spans="1:7" ht="15" customHeight="1">
      <c r="A12" s="909" t="s">
        <v>397</v>
      </c>
      <c r="B12" s="910">
        <f>'[13]Loss Expenses YTD-17'!E36</f>
        <v>0</v>
      </c>
      <c r="C12" s="910">
        <f>'[13]Loss Expenses YTD-17'!E30</f>
        <v>1229</v>
      </c>
      <c r="D12" s="910">
        <f>'[13]Loss Expenses YTD-17'!E24</f>
        <v>0</v>
      </c>
      <c r="E12" s="910">
        <f>'[13]Loss Expenses YTD-17'!E18</f>
        <v>0</v>
      </c>
      <c r="F12" s="910">
        <f>'[13]Loss Expenses YTD-17'!E12</f>
        <v>0</v>
      </c>
      <c r="G12" s="910">
        <f>SUM(B12:F12)</f>
        <v>1229</v>
      </c>
    </row>
    <row r="13" spans="1:7" ht="15" customHeight="1" thickBot="1">
      <c r="A13" s="455" t="s">
        <v>386</v>
      </c>
      <c r="B13" s="871">
        <f aca="true" t="shared" si="0" ref="B13:G13">SUM(B10:B12)</f>
        <v>1927305.3800000001</v>
      </c>
      <c r="C13" s="871">
        <f>SUM(C10:C12)+1</f>
        <v>8772401.49</v>
      </c>
      <c r="D13" s="871">
        <f>SUM(D10:D12)</f>
        <v>1894057.9100000001</v>
      </c>
      <c r="E13" s="911">
        <f t="shared" si="0"/>
        <v>-17663.85</v>
      </c>
      <c r="F13" s="911">
        <f>SUM(F10:F12)</f>
        <v>98708.82999999999</v>
      </c>
      <c r="G13" s="912">
        <f t="shared" si="0"/>
        <v>12674808.760000002</v>
      </c>
    </row>
    <row r="14" spans="1:7" ht="15" customHeight="1" thickTop="1">
      <c r="A14" s="909"/>
      <c r="B14" s="913"/>
      <c r="C14" s="913"/>
      <c r="D14" s="913"/>
      <c r="E14" s="910"/>
      <c r="F14" s="910"/>
      <c r="G14" s="910"/>
    </row>
    <row r="15" spans="1:7" ht="15" customHeight="1">
      <c r="A15" s="906" t="s">
        <v>487</v>
      </c>
      <c r="B15" s="913"/>
      <c r="C15" s="913"/>
      <c r="D15" s="913"/>
      <c r="E15" s="910"/>
      <c r="F15" s="910"/>
      <c r="G15" s="910"/>
    </row>
    <row r="16" spans="1:7" ht="15" customHeight="1">
      <c r="A16" s="909" t="s">
        <v>398</v>
      </c>
      <c r="B16" s="910">
        <f>'[13]ALAE &amp; ULAE Calculation-14'!B10</f>
        <v>3142158.12</v>
      </c>
      <c r="C16" s="910">
        <f>'[13]ALAE &amp; ULAE Calculation-14'!C10</f>
        <v>1159351.77</v>
      </c>
      <c r="D16" s="910">
        <f>'[13]ALAE &amp; ULAE Calculation-14'!D10</f>
        <v>96839.08</v>
      </c>
      <c r="E16" s="910">
        <f>'[13]ALAE &amp; ULAE Calculation-14'!E10</f>
        <v>85000</v>
      </c>
      <c r="F16" s="910">
        <f>'[13]ALAE &amp; ULAE Calculation-14'!F10</f>
        <v>17037.82</v>
      </c>
      <c r="G16" s="910">
        <f>SUM(B16:F16)</f>
        <v>4500386.790000001</v>
      </c>
    </row>
    <row r="17" spans="1:7" ht="15" customHeight="1">
      <c r="A17" s="909" t="s">
        <v>399</v>
      </c>
      <c r="B17" s="910">
        <f>'[13]ALAE &amp; ULAE Calculation-14'!B11</f>
        <v>337335</v>
      </c>
      <c r="C17" s="910">
        <f>'[13]ALAE &amp; ULAE Calculation-14'!C11</f>
        <v>128078.97</v>
      </c>
      <c r="D17" s="910">
        <f>'[13]ALAE &amp; ULAE Calculation-14'!D11</f>
        <v>9660.92</v>
      </c>
      <c r="E17" s="910">
        <f>'[13]ALAE &amp; ULAE Calculation-14'!E11</f>
        <v>0</v>
      </c>
      <c r="F17" s="910">
        <f>'[13]ALAE &amp; ULAE Calculation-14'!F11</f>
        <v>0</v>
      </c>
      <c r="G17" s="910">
        <f>SUM(B17:F17)</f>
        <v>475074.88999999996</v>
      </c>
    </row>
    <row r="18" spans="1:7" ht="15" customHeight="1">
      <c r="A18" s="909" t="s">
        <v>400</v>
      </c>
      <c r="B18" s="910">
        <f>'[13]ALAE &amp; ULAE Calculation-14'!B12</f>
        <v>0</v>
      </c>
      <c r="C18" s="910">
        <f>'[13]ALAE &amp; ULAE Calculation-14'!C12</f>
        <v>0</v>
      </c>
      <c r="D18" s="910">
        <f>'[13]ALAE &amp; ULAE Calculation-14'!D12</f>
        <v>0</v>
      </c>
      <c r="E18" s="910">
        <f>'[13]ALAE &amp; ULAE Calculation-14'!E12</f>
        <v>0</v>
      </c>
      <c r="F18" s="910">
        <f>'[13]ALAE &amp; ULAE Calculation-14'!F12</f>
        <v>0</v>
      </c>
      <c r="G18" s="910">
        <f>SUM(B18:F18)</f>
        <v>0</v>
      </c>
    </row>
    <row r="19" spans="1:7" ht="15" customHeight="1" thickBot="1">
      <c r="A19" s="455" t="s">
        <v>386</v>
      </c>
      <c r="B19" s="871">
        <f aca="true" t="shared" si="1" ref="B19:G19">SUM(B16:B18)</f>
        <v>3479493.12</v>
      </c>
      <c r="C19" s="871">
        <f t="shared" si="1"/>
        <v>1287430.74</v>
      </c>
      <c r="D19" s="871">
        <f t="shared" si="1"/>
        <v>106500</v>
      </c>
      <c r="E19" s="911">
        <f t="shared" si="1"/>
        <v>85000</v>
      </c>
      <c r="F19" s="911">
        <f t="shared" si="1"/>
        <v>17037.82</v>
      </c>
      <c r="G19" s="912">
        <f t="shared" si="1"/>
        <v>4975461.680000001</v>
      </c>
    </row>
    <row r="20" spans="1:7" ht="15" customHeight="1" thickTop="1">
      <c r="A20" s="455"/>
      <c r="B20" s="867"/>
      <c r="C20" s="867"/>
      <c r="D20" s="867"/>
      <c r="E20" s="914"/>
      <c r="F20" s="914"/>
      <c r="G20" s="915"/>
    </row>
    <row r="21" spans="1:10" ht="15" customHeight="1">
      <c r="A21" s="906" t="s">
        <v>488</v>
      </c>
      <c r="B21" s="916"/>
      <c r="C21" s="916"/>
      <c r="D21" s="916"/>
      <c r="E21" s="916"/>
      <c r="F21" s="916"/>
      <c r="G21" s="917"/>
      <c r="H21" s="584"/>
      <c r="I21" s="584"/>
      <c r="J21" s="918"/>
    </row>
    <row r="22" spans="1:10" ht="15" customHeight="1">
      <c r="A22" s="909" t="s">
        <v>398</v>
      </c>
      <c r="B22" s="910">
        <f>'[13]IBNR Calculation-13'!C36</f>
        <v>1131729.12</v>
      </c>
      <c r="C22" s="910">
        <f>'[13]IBNR Calculation-13'!C30</f>
        <v>90118.22</v>
      </c>
      <c r="D22" s="910">
        <f>'[13]IBNR Calculation-13'!C23</f>
        <v>113143.51</v>
      </c>
      <c r="E22" s="910">
        <f>'[13]IBNR Calculation-13'!C16</f>
        <v>59281</v>
      </c>
      <c r="F22" s="910">
        <v>0</v>
      </c>
      <c r="G22" s="910">
        <f>SUM(B22:F22)</f>
        <v>1394271.85</v>
      </c>
      <c r="H22" s="584"/>
      <c r="I22" s="584"/>
      <c r="J22" s="918"/>
    </row>
    <row r="23" spans="1:10" ht="15" customHeight="1">
      <c r="A23" s="909" t="s">
        <v>399</v>
      </c>
      <c r="B23" s="910">
        <f>'[13]IBNR Calculation-13'!C37</f>
        <v>121499.88</v>
      </c>
      <c r="C23" s="910">
        <f>'[13]IBNR Calculation-13'!C31</f>
        <v>9955.78</v>
      </c>
      <c r="D23" s="910">
        <f>'[13]IBNR Calculation-13'!C24</f>
        <v>11287.49</v>
      </c>
      <c r="E23" s="910">
        <f>'[13]IBNR Calculation-13'!C17</f>
        <v>0</v>
      </c>
      <c r="F23" s="910">
        <v>0</v>
      </c>
      <c r="G23" s="910">
        <f>SUM(B23:F23)</f>
        <v>142743.15</v>
      </c>
      <c r="H23" s="584"/>
      <c r="I23" s="584"/>
      <c r="J23" s="918"/>
    </row>
    <row r="24" spans="1:10" ht="15" customHeight="1">
      <c r="A24" s="909" t="s">
        <v>400</v>
      </c>
      <c r="B24" s="910">
        <f>'[13]IBNR Calculation-13'!C38</f>
        <v>0</v>
      </c>
      <c r="C24" s="910">
        <f>'[13]IBNR Calculation-13'!C32</f>
        <v>0</v>
      </c>
      <c r="D24" s="910">
        <f>'[13]IBNR Calculation-13'!C25</f>
        <v>0</v>
      </c>
      <c r="E24" s="910">
        <f>'[13]IBNR Calculation-13'!C18</f>
        <v>0</v>
      </c>
      <c r="F24" s="910">
        <v>0</v>
      </c>
      <c r="G24" s="910">
        <f>SUM(B24:F24)</f>
        <v>0</v>
      </c>
      <c r="H24" s="584"/>
      <c r="I24" s="584"/>
      <c r="J24" s="918"/>
    </row>
    <row r="25" spans="1:10" ht="15" customHeight="1" thickBot="1">
      <c r="A25" s="455" t="s">
        <v>386</v>
      </c>
      <c r="B25" s="871">
        <f aca="true" t="shared" si="2" ref="B25:G25">SUM(B22:B24)</f>
        <v>1253229</v>
      </c>
      <c r="C25" s="871">
        <f t="shared" si="2"/>
        <v>100074</v>
      </c>
      <c r="D25" s="871">
        <f t="shared" si="2"/>
        <v>124431</v>
      </c>
      <c r="E25" s="911">
        <f t="shared" si="2"/>
        <v>59281</v>
      </c>
      <c r="F25" s="911">
        <f t="shared" si="2"/>
        <v>0</v>
      </c>
      <c r="G25" s="912">
        <f t="shared" si="2"/>
        <v>1537015</v>
      </c>
      <c r="H25" s="924"/>
      <c r="I25" s="584"/>
      <c r="J25" s="918"/>
    </row>
    <row r="26" spans="1:7" ht="15" customHeight="1" thickTop="1">
      <c r="A26" s="909"/>
      <c r="B26" s="913"/>
      <c r="C26" s="913"/>
      <c r="D26" s="913"/>
      <c r="E26" s="910"/>
      <c r="F26" s="910"/>
      <c r="G26" s="910"/>
    </row>
    <row r="27" spans="1:7" ht="15" customHeight="1">
      <c r="A27" s="906" t="s">
        <v>199</v>
      </c>
      <c r="B27" s="919"/>
      <c r="C27" s="919"/>
      <c r="D27" s="919"/>
      <c r="E27" s="910"/>
      <c r="F27" s="910"/>
      <c r="G27" s="910"/>
    </row>
    <row r="28" spans="1:7" ht="15" customHeight="1">
      <c r="A28" s="906" t="s">
        <v>467</v>
      </c>
      <c r="B28" s="919"/>
      <c r="C28" s="919"/>
      <c r="D28" s="919"/>
      <c r="E28" s="910"/>
      <c r="F28" s="910"/>
      <c r="G28" s="910"/>
    </row>
    <row r="29" spans="1:7" ht="15" customHeight="1">
      <c r="A29" s="909" t="s">
        <v>398</v>
      </c>
      <c r="B29" s="913">
        <v>0</v>
      </c>
      <c r="C29" s="913">
        <v>3855158.91</v>
      </c>
      <c r="D29" s="913">
        <v>1825586.84</v>
      </c>
      <c r="E29" s="910">
        <v>86017</v>
      </c>
      <c r="F29" s="910">
        <v>158729</v>
      </c>
      <c r="G29" s="910">
        <f>SUM(B29:F29)</f>
        <v>5925491.75</v>
      </c>
    </row>
    <row r="30" spans="1:7" ht="15" customHeight="1">
      <c r="A30" s="909" t="s">
        <v>399</v>
      </c>
      <c r="B30" s="913">
        <v>0</v>
      </c>
      <c r="C30" s="913">
        <v>1125651.02</v>
      </c>
      <c r="D30" s="913">
        <v>152921.92</v>
      </c>
      <c r="E30" s="910">
        <v>8514</v>
      </c>
      <c r="F30" s="910">
        <v>0</v>
      </c>
      <c r="G30" s="910">
        <f>SUM(B30:F30)</f>
        <v>1287086.94</v>
      </c>
    </row>
    <row r="31" spans="1:7" ht="15" customHeight="1">
      <c r="A31" s="909" t="s">
        <v>400</v>
      </c>
      <c r="B31" s="913">
        <v>0</v>
      </c>
      <c r="C31" s="913">
        <v>27967.07</v>
      </c>
      <c r="D31" s="913">
        <v>0</v>
      </c>
      <c r="E31" s="910">
        <v>0</v>
      </c>
      <c r="F31" s="910">
        <v>0</v>
      </c>
      <c r="G31" s="910">
        <f>SUM(B31:F31)</f>
        <v>27967.07</v>
      </c>
    </row>
    <row r="32" spans="1:7" ht="15" customHeight="1" thickBot="1">
      <c r="A32" s="455" t="s">
        <v>386</v>
      </c>
      <c r="B32" s="871">
        <f aca="true" t="shared" si="3" ref="B32:G32">SUM(B29:B31)</f>
        <v>0</v>
      </c>
      <c r="C32" s="871">
        <f t="shared" si="3"/>
        <v>5008777</v>
      </c>
      <c r="D32" s="871">
        <f t="shared" si="3"/>
        <v>1978508.76</v>
      </c>
      <c r="E32" s="911">
        <f t="shared" si="3"/>
        <v>94531</v>
      </c>
      <c r="F32" s="911">
        <f t="shared" si="3"/>
        <v>158729</v>
      </c>
      <c r="G32" s="912">
        <f t="shared" si="3"/>
        <v>7240545.76</v>
      </c>
    </row>
    <row r="33" spans="1:7" s="921" customFormat="1" ht="15" customHeight="1" thickTop="1">
      <c r="A33" s="920"/>
      <c r="B33" s="919"/>
      <c r="C33" s="919"/>
      <c r="D33" s="919"/>
      <c r="E33" s="919"/>
      <c r="F33" s="919"/>
      <c r="G33" s="919"/>
    </row>
    <row r="34" spans="1:7" ht="15" customHeight="1">
      <c r="A34" s="906" t="s">
        <v>401</v>
      </c>
      <c r="B34" s="913"/>
      <c r="C34" s="913"/>
      <c r="D34" s="913"/>
      <c r="E34" s="910"/>
      <c r="F34" s="910"/>
      <c r="G34" s="910"/>
    </row>
    <row r="35" spans="1:7" ht="15" customHeight="1">
      <c r="A35" s="909" t="s">
        <v>398</v>
      </c>
      <c r="B35" s="910">
        <f>B10+(B16+B22-B29)</f>
        <v>5844032.28</v>
      </c>
      <c r="C35" s="910">
        <f aca="true" t="shared" si="4" ref="B35:F37">C10+(C16+C22-C29)</f>
        <v>4740828.850000001</v>
      </c>
      <c r="D35" s="910">
        <f t="shared" si="4"/>
        <v>108527.56000000006</v>
      </c>
      <c r="E35" s="910">
        <f t="shared" si="4"/>
        <v>52589.26</v>
      </c>
      <c r="F35" s="910">
        <f t="shared" si="4"/>
        <v>-42906.33</v>
      </c>
      <c r="G35" s="910">
        <f>SUM(B35:F35)</f>
        <v>10703071.620000001</v>
      </c>
    </row>
    <row r="36" spans="1:7" ht="15" customHeight="1">
      <c r="A36" s="909" t="s">
        <v>399</v>
      </c>
      <c r="B36" s="910">
        <f t="shared" si="4"/>
        <v>815995.22</v>
      </c>
      <c r="C36" s="910">
        <f>C11+(C17+C23-C30)+1</f>
        <v>437038.4500000002</v>
      </c>
      <c r="D36" s="910">
        <f>D11+(D17+D23-D30)-1</f>
        <v>37951.59</v>
      </c>
      <c r="E36" s="910">
        <f t="shared" si="4"/>
        <v>-20503.11</v>
      </c>
      <c r="F36" s="910">
        <f t="shared" si="4"/>
        <v>-76.02</v>
      </c>
      <c r="G36" s="910">
        <f>SUM(B36:F36)</f>
        <v>1270406.1300000001</v>
      </c>
    </row>
    <row r="37" spans="1:7" ht="15" customHeight="1">
      <c r="A37" s="909" t="s">
        <v>400</v>
      </c>
      <c r="B37" s="910">
        <f t="shared" si="4"/>
        <v>0</v>
      </c>
      <c r="C37" s="910">
        <f t="shared" si="4"/>
        <v>-26738.07</v>
      </c>
      <c r="D37" s="910">
        <f t="shared" si="4"/>
        <v>0</v>
      </c>
      <c r="E37" s="910">
        <f t="shared" si="4"/>
        <v>0</v>
      </c>
      <c r="F37" s="910">
        <f t="shared" si="4"/>
        <v>0</v>
      </c>
      <c r="G37" s="910">
        <f>SUM(B37:F37)</f>
        <v>-26738.07</v>
      </c>
    </row>
    <row r="38" spans="1:7" ht="15" customHeight="1" thickBot="1">
      <c r="A38" s="455" t="s">
        <v>386</v>
      </c>
      <c r="B38" s="922">
        <f>SUM(B35:B37)-1</f>
        <v>6660026.5</v>
      </c>
      <c r="C38" s="922">
        <f>SUM(C35:C37)</f>
        <v>5151129.23</v>
      </c>
      <c r="D38" s="922">
        <f>SUM(D35:D37)+1</f>
        <v>146480.15000000005</v>
      </c>
      <c r="E38" s="922">
        <f>SUM(E35:E37)</f>
        <v>32086.15</v>
      </c>
      <c r="F38" s="922">
        <f>SUM(F35:F37)</f>
        <v>-42982.35</v>
      </c>
      <c r="G38" s="922">
        <f>SUM(G35:G37)</f>
        <v>11946739.680000002</v>
      </c>
    </row>
    <row r="39" spans="1:7" ht="15" customHeight="1" thickTop="1">
      <c r="A39" s="371"/>
      <c r="B39" s="916"/>
      <c r="C39" s="916"/>
      <c r="D39" s="916"/>
      <c r="G39" s="923"/>
    </row>
    <row r="40" spans="1:7" s="805" customFormat="1" ht="15" customHeight="1">
      <c r="A40" s="805" t="s">
        <v>468</v>
      </c>
      <c r="B40" s="806"/>
      <c r="C40" s="806"/>
      <c r="D40" s="806"/>
      <c r="E40" s="807"/>
      <c r="F40" s="807"/>
      <c r="G40" s="807"/>
    </row>
  </sheetData>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2">
      <selection activeCell="A33" sqref="A33"/>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258</v>
      </c>
      <c r="B1" s="307"/>
      <c r="C1" s="307"/>
      <c r="D1" s="307"/>
      <c r="E1" s="335"/>
      <c r="F1" s="335"/>
      <c r="G1" s="336"/>
      <c r="H1" s="260"/>
    </row>
    <row r="2" spans="1:7" ht="15" customHeight="1">
      <c r="A2" s="792"/>
      <c r="B2" s="326"/>
      <c r="C2" s="326"/>
      <c r="D2" s="326"/>
      <c r="E2" s="326"/>
      <c r="F2" s="326"/>
      <c r="G2" s="337"/>
    </row>
    <row r="3" spans="1:8" s="45" customFormat="1" ht="15" customHeight="1">
      <c r="A3" s="652" t="s">
        <v>403</v>
      </c>
      <c r="B3" s="925"/>
      <c r="C3" s="925"/>
      <c r="D3" s="925"/>
      <c r="E3" s="926"/>
      <c r="F3" s="926"/>
      <c r="G3" s="927"/>
      <c r="H3" s="789"/>
    </row>
    <row r="4" spans="1:8" s="45" customFormat="1" ht="15" customHeight="1">
      <c r="A4" s="652" t="s">
        <v>404</v>
      </c>
      <c r="B4" s="925"/>
      <c r="C4" s="925"/>
      <c r="D4" s="925"/>
      <c r="E4" s="926"/>
      <c r="F4" s="926"/>
      <c r="G4" s="927"/>
      <c r="H4" s="789"/>
    </row>
    <row r="5" spans="1:8" s="45" customFormat="1" ht="15" customHeight="1">
      <c r="A5" s="380" t="s">
        <v>484</v>
      </c>
      <c r="B5" s="925"/>
      <c r="C5" s="925"/>
      <c r="D5" s="925"/>
      <c r="E5" s="926"/>
      <c r="F5" s="926"/>
      <c r="G5" s="927"/>
      <c r="H5" s="789"/>
    </row>
    <row r="6" spans="1:7" ht="15" customHeight="1">
      <c r="A6" s="17"/>
      <c r="E6" s="337"/>
      <c r="F6" s="337"/>
      <c r="G6" s="337"/>
    </row>
    <row r="7" spans="1:7" ht="30" customHeight="1">
      <c r="A7" s="47"/>
      <c r="B7" s="310" t="s">
        <v>198</v>
      </c>
      <c r="C7" s="310" t="s">
        <v>42</v>
      </c>
      <c r="D7" s="310" t="s">
        <v>46</v>
      </c>
      <c r="E7" s="928" t="s">
        <v>147</v>
      </c>
      <c r="F7" s="928" t="s">
        <v>217</v>
      </c>
      <c r="G7" s="929" t="s">
        <v>259</v>
      </c>
    </row>
    <row r="8" spans="1:7" ht="30" customHeight="1">
      <c r="A8" s="930" t="s">
        <v>477</v>
      </c>
      <c r="B8" s="311"/>
      <c r="C8" s="311"/>
      <c r="D8" s="311"/>
      <c r="G8" s="931"/>
    </row>
    <row r="9" spans="1:38" ht="15" customHeight="1">
      <c r="A9" s="18" t="s">
        <v>383</v>
      </c>
      <c r="B9" s="932">
        <f>'[13]Loss Expenses QTD-16'!K34</f>
        <v>97676.23999999999</v>
      </c>
      <c r="C9" s="932">
        <f>'[13]Loss Expenses QTD-16'!K28</f>
        <v>120954.65</v>
      </c>
      <c r="D9" s="932">
        <f>'[13]Loss Expenses QTD-16'!K22</f>
        <v>6068.259999999999</v>
      </c>
      <c r="E9" s="932">
        <f>'[13]Loss Expenses QTD-16'!K16</f>
        <v>549.78</v>
      </c>
      <c r="F9" s="932">
        <f>'[13]Loss Expenses QTD-16'!K10</f>
        <v>3107.08</v>
      </c>
      <c r="G9" s="932">
        <f>SUM(B9:F9)</f>
        <v>228356.00999999998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384</v>
      </c>
      <c r="B10" s="122">
        <f>'[13]Loss Expenses QTD-16'!K35</f>
        <v>71305.08</v>
      </c>
      <c r="C10" s="122">
        <f>'[13]Loss Expenses QTD-16'!K29</f>
        <v>50631.409999999996</v>
      </c>
      <c r="D10" s="122">
        <f>'[13]Loss Expenses QTD-16'!K23</f>
        <v>13860.98</v>
      </c>
      <c r="E10" s="122">
        <f>'[13]Loss Expenses QTD-16'!K17</f>
        <v>6790.18</v>
      </c>
      <c r="F10" s="122">
        <f>'[13]Loss Expenses QTD-16'!K11</f>
        <v>717.48</v>
      </c>
      <c r="G10" s="122">
        <f>SUM(B10:F10)-1</f>
        <v>143304.13</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385</v>
      </c>
      <c r="B11" s="122">
        <f>'[13]Loss Expenses QTD-16'!K36</f>
        <v>487.56</v>
      </c>
      <c r="C11" s="122">
        <f>'[13]Loss Expenses QTD-16'!K30</f>
        <v>0</v>
      </c>
      <c r="D11" s="122">
        <f>'[13]Loss Expenses QTD-16'!K24</f>
        <v>0</v>
      </c>
      <c r="E11" s="122">
        <f>'[13]Loss Expenses QTD-16'!K18</f>
        <v>0</v>
      </c>
      <c r="F11" s="122">
        <f>'[13]Loss Expenses QTD-16'!K12</f>
        <v>0</v>
      </c>
      <c r="G11" s="122">
        <f>SUM(B11:F11)</f>
        <v>487.56</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33" t="s">
        <v>386</v>
      </c>
      <c r="B12" s="332">
        <f aca="true" t="shared" si="0" ref="B12:G12">SUM(B9:B11)</f>
        <v>169468.88</v>
      </c>
      <c r="C12" s="332">
        <f t="shared" si="0"/>
        <v>171586.06</v>
      </c>
      <c r="D12" s="332">
        <f>SUM(D9:D11)</f>
        <v>19929.239999999998</v>
      </c>
      <c r="E12" s="332">
        <f>SUM(E9:E11)</f>
        <v>7339.96</v>
      </c>
      <c r="F12" s="332">
        <f>SUM(F9:F11)-1</f>
        <v>3823.56</v>
      </c>
      <c r="G12" s="129">
        <f t="shared" si="0"/>
        <v>372147.7</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34" t="s">
        <v>485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383</v>
      </c>
      <c r="B15" s="126">
        <f>'Loss Expenses YTD-12'!B15</f>
        <v>386392.94000000006</v>
      </c>
      <c r="C15" s="126">
        <f>'Loss Expenses YTD-12'!C15</f>
        <v>156600.62</v>
      </c>
      <c r="D15" s="126">
        <f>'Loss Expenses YTD-12'!D15</f>
        <v>24674.83</v>
      </c>
      <c r="E15" s="122">
        <f>'Loss Expenses YTD-12'!E15</f>
        <v>9793.1</v>
      </c>
      <c r="F15" s="122">
        <f>'Loss Expenses YTD-12'!F15</f>
        <v>3873.18</v>
      </c>
      <c r="G15" s="122">
        <f>SUM(B15:F15)</f>
        <v>581334.67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384</v>
      </c>
      <c r="B16" s="126">
        <f>'Loss Expenses YTD-12'!B16</f>
        <v>41482.28</v>
      </c>
      <c r="C16" s="126">
        <f>'Loss Expenses YTD-12'!C16</f>
        <v>17300.4</v>
      </c>
      <c r="D16" s="126">
        <f>'Loss Expenses YTD-12'!D16</f>
        <v>2461.62</v>
      </c>
      <c r="E16" s="122">
        <f>'Loss Expenses YTD-12'!E16</f>
        <v>0</v>
      </c>
      <c r="F16" s="122">
        <f>'Loss Expenses YTD-12'!F16</f>
        <v>0</v>
      </c>
      <c r="G16" s="122">
        <f>SUM(B16:F16)</f>
        <v>61244.3</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385</v>
      </c>
      <c r="B17" s="126">
        <f>'Loss Expenses YTD-12'!B17</f>
        <v>0</v>
      </c>
      <c r="C17" s="126">
        <f>'Loss Expenses YTD-12'!C17</f>
        <v>0</v>
      </c>
      <c r="D17" s="935">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33" t="s">
        <v>386</v>
      </c>
      <c r="B18" s="138">
        <f aca="true" t="shared" si="1" ref="B18:G18">SUM(B15:B17)</f>
        <v>427875.2200000001</v>
      </c>
      <c r="C18" s="138">
        <f t="shared" si="1"/>
        <v>173901.02</v>
      </c>
      <c r="D18" s="138">
        <f>SUM(D15:D17)+1</f>
        <v>27137.45</v>
      </c>
      <c r="E18" s="332">
        <f t="shared" si="1"/>
        <v>9793.1</v>
      </c>
      <c r="F18" s="332">
        <f t="shared" si="1"/>
        <v>3873.18</v>
      </c>
      <c r="G18" s="129">
        <f t="shared" si="1"/>
        <v>642578.9700000001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3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34" t="s">
        <v>486</v>
      </c>
      <c r="B20" s="312"/>
      <c r="C20" s="312"/>
      <c r="D20" s="312"/>
      <c r="E20" s="569"/>
      <c r="F20" s="569"/>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383</v>
      </c>
      <c r="B21" s="126">
        <v>437330.94</v>
      </c>
      <c r="C21" s="126">
        <v>112603.82</v>
      </c>
      <c r="D21" s="126">
        <v>38071.43</v>
      </c>
      <c r="E21" s="122">
        <v>10909.05</v>
      </c>
      <c r="F21" s="122">
        <v>6091.65</v>
      </c>
      <c r="G21" s="122">
        <f>SUM(B21:F21)</f>
        <v>605006.8900000001</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406</v>
      </c>
      <c r="B22" s="126">
        <v>63011.52</v>
      </c>
      <c r="C22" s="126">
        <v>7649.21</v>
      </c>
      <c r="D22" s="126">
        <v>3605.75</v>
      </c>
      <c r="E22" s="122">
        <v>64.18</v>
      </c>
      <c r="F22" s="122">
        <v>0</v>
      </c>
      <c r="G22" s="122">
        <f>SUM(B22:F22)</f>
        <v>74330.65999999999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385</v>
      </c>
      <c r="B23" s="126">
        <v>757.96</v>
      </c>
      <c r="C23" s="126">
        <v>0</v>
      </c>
      <c r="D23" s="126">
        <v>0</v>
      </c>
      <c r="E23" s="122">
        <v>0</v>
      </c>
      <c r="F23" s="122">
        <v>0</v>
      </c>
      <c r="G23" s="122">
        <f>SUM(B23:F23)</f>
        <v>757.96</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33" t="s">
        <v>386</v>
      </c>
      <c r="B24" s="138">
        <f>SUM(B21:B23)+1</f>
        <v>501101.42000000004</v>
      </c>
      <c r="C24" s="138">
        <f>SUM(C21:C23)</f>
        <v>120253.03000000001</v>
      </c>
      <c r="D24" s="138">
        <f>SUM(D21:D23)</f>
        <v>41677.18</v>
      </c>
      <c r="E24" s="332">
        <f>SUM(E21:E23)</f>
        <v>10973.23</v>
      </c>
      <c r="F24" s="332">
        <f>SUM(F21:F23)</f>
        <v>6091.65</v>
      </c>
      <c r="G24" s="129">
        <f>SUM(G21:G23)</f>
        <v>680095.5100000001</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7"/>
      <c r="AK25" s="937"/>
      <c r="AL25" s="937"/>
    </row>
    <row r="26" spans="1:38" s="23" customFormat="1" ht="30" customHeight="1">
      <c r="A26" s="934" t="s">
        <v>443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383</v>
      </c>
      <c r="B27" s="122">
        <f aca="true" t="shared" si="2" ref="B27:F29">B9+B15-B21</f>
        <v>46738.24000000005</v>
      </c>
      <c r="C27" s="122">
        <f>C9+C15-C21+1</f>
        <v>164952.45</v>
      </c>
      <c r="D27" s="122">
        <f t="shared" si="2"/>
        <v>-7328.34</v>
      </c>
      <c r="E27" s="122">
        <f t="shared" si="2"/>
        <v>-566.1699999999983</v>
      </c>
      <c r="F27" s="122">
        <f>F9+F15-F21-1</f>
        <v>887.6100000000006</v>
      </c>
      <c r="G27" s="122">
        <f>SUM(B27:F27)</f>
        <v>204683.79000000004</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384</v>
      </c>
      <c r="B28" s="122">
        <f>B10+B16-B22-1</f>
        <v>49774.840000000004</v>
      </c>
      <c r="C28" s="122">
        <f>C10+C16-C22-1</f>
        <v>60281.6</v>
      </c>
      <c r="D28" s="122">
        <f>D10+D16-D22</f>
        <v>12716.849999999999</v>
      </c>
      <c r="E28" s="122">
        <f t="shared" si="2"/>
        <v>6726</v>
      </c>
      <c r="F28" s="122">
        <f t="shared" si="2"/>
        <v>717.48</v>
      </c>
      <c r="G28" s="122">
        <f>SUM(B28:F28)</f>
        <v>130216.77</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385</v>
      </c>
      <c r="B29" s="122">
        <f t="shared" si="2"/>
        <v>-270.40000000000003</v>
      </c>
      <c r="C29" s="122">
        <f t="shared" si="2"/>
        <v>0</v>
      </c>
      <c r="D29" s="122">
        <f t="shared" si="2"/>
        <v>0</v>
      </c>
      <c r="E29" s="122">
        <f t="shared" si="2"/>
        <v>0</v>
      </c>
      <c r="F29" s="122">
        <f t="shared" si="2"/>
        <v>0</v>
      </c>
      <c r="G29" s="122">
        <f>SUM(B29:F29)</f>
        <v>-270.40000000000003</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386</v>
      </c>
      <c r="B30" s="345">
        <f>SUM(B27:B29)</f>
        <v>96242.68000000005</v>
      </c>
      <c r="C30" s="345">
        <f>SUM(C27:C29)</f>
        <v>225234.05000000002</v>
      </c>
      <c r="D30" s="345">
        <f>SUM(D27:D29)</f>
        <v>5388.509999999998</v>
      </c>
      <c r="E30" s="345">
        <f>SUM(E27:E29)</f>
        <v>6159.830000000002</v>
      </c>
      <c r="F30" s="345">
        <f>SUM(F27:F29)</f>
        <v>1605.0900000000006</v>
      </c>
      <c r="G30" s="345">
        <f>SUM(G27:G29)+1</f>
        <v>334631.16000000003</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3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B9">
      <selection activeCell="G30" sqref="G30"/>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258</v>
      </c>
      <c r="B1" s="307"/>
      <c r="C1" s="307"/>
      <c r="D1" s="307"/>
      <c r="E1" s="335"/>
      <c r="F1" s="335"/>
      <c r="G1" s="336"/>
      <c r="H1" s="260"/>
    </row>
    <row r="2" spans="1:7" ht="15" customHeight="1">
      <c r="A2" s="792"/>
      <c r="B2" s="326"/>
      <c r="C2" s="326"/>
      <c r="D2" s="326"/>
      <c r="E2" s="326"/>
      <c r="F2" s="326"/>
      <c r="G2" s="337"/>
    </row>
    <row r="3" spans="1:8" s="45" customFormat="1" ht="15" customHeight="1">
      <c r="A3" s="652" t="s">
        <v>403</v>
      </c>
      <c r="B3" s="925"/>
      <c r="C3" s="925"/>
      <c r="D3" s="925"/>
      <c r="E3" s="926"/>
      <c r="F3" s="926"/>
      <c r="G3" s="927"/>
      <c r="H3" s="789"/>
    </row>
    <row r="4" spans="1:8" s="45" customFormat="1" ht="15" customHeight="1">
      <c r="A4" s="652" t="s">
        <v>404</v>
      </c>
      <c r="B4" s="925"/>
      <c r="C4" s="925"/>
      <c r="D4" s="925"/>
      <c r="E4" s="926"/>
      <c r="F4" s="926"/>
      <c r="G4" s="927"/>
      <c r="H4" s="789"/>
    </row>
    <row r="5" spans="1:8" s="45" customFormat="1" ht="15" customHeight="1">
      <c r="A5" s="380" t="s">
        <v>482</v>
      </c>
      <c r="B5" s="925"/>
      <c r="C5" s="925"/>
      <c r="D5" s="925"/>
      <c r="E5" s="926"/>
      <c r="F5" s="926"/>
      <c r="G5" s="927"/>
      <c r="H5" s="789"/>
    </row>
    <row r="6" spans="1:7" ht="15" customHeight="1">
      <c r="A6" s="17"/>
      <c r="E6" s="337"/>
      <c r="F6" s="337"/>
      <c r="G6" s="337"/>
    </row>
    <row r="7" spans="1:7" ht="30" customHeight="1">
      <c r="A7" s="47"/>
      <c r="B7" s="310" t="s">
        <v>198</v>
      </c>
      <c r="C7" s="310" t="s">
        <v>42</v>
      </c>
      <c r="D7" s="310" t="s">
        <v>46</v>
      </c>
      <c r="E7" s="928" t="s">
        <v>147</v>
      </c>
      <c r="F7" s="928" t="s">
        <v>217</v>
      </c>
      <c r="G7" s="929" t="s">
        <v>259</v>
      </c>
    </row>
    <row r="8" spans="1:7" ht="30" customHeight="1">
      <c r="A8" s="930" t="s">
        <v>479</v>
      </c>
      <c r="B8" s="311"/>
      <c r="C8" s="311"/>
      <c r="D8" s="311"/>
      <c r="G8" s="931"/>
    </row>
    <row r="9" spans="1:38" ht="15" customHeight="1">
      <c r="A9" s="18" t="s">
        <v>383</v>
      </c>
      <c r="B9" s="932">
        <f>'[13]Loss Expenses YTD-17'!K34</f>
        <v>166076.65000000002</v>
      </c>
      <c r="C9" s="932">
        <f>'[13]Loss Expenses YTD-17'!K28</f>
        <v>645059.48</v>
      </c>
      <c r="D9" s="932">
        <f>'[13]Loss Expenses YTD-17'!K22</f>
        <v>140073.36</v>
      </c>
      <c r="E9" s="932">
        <f>'[13]Loss Expenses YTD-17'!K16</f>
        <v>2384.96</v>
      </c>
      <c r="F9" s="932">
        <f>'[13]Loss Expenses YTD-17'!K10</f>
        <v>17555.72</v>
      </c>
      <c r="G9" s="932">
        <f>SUM(B9:F9)</f>
        <v>971150.1699999999</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384</v>
      </c>
      <c r="B10" s="122">
        <f>'[13]Loss Expenses YTD-17'!K35</f>
        <v>168658.34</v>
      </c>
      <c r="C10" s="122">
        <f>'[13]Loss Expenses YTD-17'!K29</f>
        <v>392811.14</v>
      </c>
      <c r="D10" s="122">
        <f>'[13]Loss Expenses YTD-17'!K23</f>
        <v>69862.6</v>
      </c>
      <c r="E10" s="122">
        <f>'[13]Loss Expenses YTD-17'!K17</f>
        <v>8203.310000000001</v>
      </c>
      <c r="F10" s="122">
        <f>'[13]Loss Expenses YTD-17'!K11</f>
        <v>717.48</v>
      </c>
      <c r="G10" s="122">
        <f>SUM(B10:F10)-1</f>
        <v>640251.87</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385</v>
      </c>
      <c r="B11" s="122">
        <f>'[13]Loss Expenses YTD-17'!K36</f>
        <v>487.56</v>
      </c>
      <c r="C11" s="122">
        <f>'[13]Loss Expenses YTD-17'!K30</f>
        <v>6301.620000000001</v>
      </c>
      <c r="D11" s="122">
        <f>'[13]Loss Expenses YTD-17'!K24</f>
        <v>0</v>
      </c>
      <c r="E11" s="122">
        <f>'[13]Loss Expenses YTD-17'!K18</f>
        <v>0</v>
      </c>
      <c r="F11" s="122">
        <f>'[13]Loss Expenses YTD-17'!K12</f>
        <v>0</v>
      </c>
      <c r="G11" s="122">
        <f>SUM(B11:F11)+1</f>
        <v>6790.180000000001</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33" t="s">
        <v>386</v>
      </c>
      <c r="B12" s="332">
        <f aca="true" t="shared" si="0" ref="B12:G12">SUM(B9:B11)</f>
        <v>335222.55</v>
      </c>
      <c r="C12" s="332">
        <f t="shared" si="0"/>
        <v>1044172.24</v>
      </c>
      <c r="D12" s="332">
        <f t="shared" si="0"/>
        <v>209935.96</v>
      </c>
      <c r="E12" s="332">
        <f t="shared" si="0"/>
        <v>10588.27</v>
      </c>
      <c r="F12" s="332">
        <f t="shared" si="0"/>
        <v>18273.2</v>
      </c>
      <c r="G12" s="129">
        <f t="shared" si="0"/>
        <v>1618192.22</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34" t="s">
        <v>483</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383</v>
      </c>
      <c r="B15" s="126">
        <f>'[13]ALAE &amp; ULAE Calculation-14'!B30</f>
        <v>386392.94000000006</v>
      </c>
      <c r="C15" s="126">
        <f>'[13]ALAE &amp; ULAE Calculation-14'!C30</f>
        <v>156600.62</v>
      </c>
      <c r="D15" s="126">
        <f>'[13]ALAE &amp; ULAE Calculation-14'!D30</f>
        <v>24674.83</v>
      </c>
      <c r="E15" s="122">
        <f>'[13]ALAE &amp; ULAE Calculation-14'!E30</f>
        <v>9793.1</v>
      </c>
      <c r="F15" s="122">
        <f>'[13]ALAE &amp; ULAE Calculation-14'!F30</f>
        <v>3873.18</v>
      </c>
      <c r="G15" s="122">
        <f>SUM(B15:F15)</f>
        <v>581334.67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384</v>
      </c>
      <c r="B16" s="126">
        <f>'[13]ALAE &amp; ULAE Calculation-14'!B31</f>
        <v>41482.28</v>
      </c>
      <c r="C16" s="126">
        <f>'[13]ALAE &amp; ULAE Calculation-14'!C31</f>
        <v>17300.4</v>
      </c>
      <c r="D16" s="126">
        <f>'[13]ALAE &amp; ULAE Calculation-14'!D31</f>
        <v>2461.62</v>
      </c>
      <c r="E16" s="122">
        <f>'[13]ALAE &amp; ULAE Calculation-14'!E31</f>
        <v>0</v>
      </c>
      <c r="F16" s="122">
        <f>'[13]ALAE &amp; ULAE Calculation-14'!F31</f>
        <v>0</v>
      </c>
      <c r="G16" s="122">
        <f>SUM(B16:F16)</f>
        <v>61244.3</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385</v>
      </c>
      <c r="B17" s="122">
        <f>'[13]ALAE &amp; ULAE Calculation-14'!B32</f>
        <v>0</v>
      </c>
      <c r="C17" s="122">
        <f>'[13]ALAE &amp; ULAE Calculation-14'!C32</f>
        <v>0</v>
      </c>
      <c r="D17" s="122">
        <f>'[13]ALAE &amp; ULAE Calculation-14'!D32</f>
        <v>0</v>
      </c>
      <c r="E17" s="122">
        <f>'[13]ALAE &amp; ULAE Calculation-14'!E32</f>
        <v>0</v>
      </c>
      <c r="F17" s="122">
        <f>'[13]ALAE &amp; ULAE Calculation-14'!F32</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33" t="s">
        <v>386</v>
      </c>
      <c r="B18" s="138">
        <f aca="true" t="shared" si="1" ref="B18:G18">SUM(B15:B17)</f>
        <v>427875.2200000001</v>
      </c>
      <c r="C18" s="138">
        <f t="shared" si="1"/>
        <v>173901.02</v>
      </c>
      <c r="D18" s="138">
        <f>SUM(D15:D17)+1</f>
        <v>27137.45</v>
      </c>
      <c r="E18" s="332">
        <f t="shared" si="1"/>
        <v>9793.1</v>
      </c>
      <c r="F18" s="332">
        <f t="shared" si="1"/>
        <v>3873.18</v>
      </c>
      <c r="G18" s="129">
        <f t="shared" si="1"/>
        <v>642578.9700000001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3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34" t="s">
        <v>478</v>
      </c>
      <c r="B20" s="312"/>
      <c r="C20" s="312"/>
      <c r="D20" s="312"/>
      <c r="E20" s="569"/>
      <c r="F20" s="569"/>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383</v>
      </c>
      <c r="B21" s="126">
        <v>0</v>
      </c>
      <c r="C21" s="126">
        <v>337867.09</v>
      </c>
      <c r="D21" s="126">
        <v>231301.85</v>
      </c>
      <c r="E21" s="122">
        <v>10898.35</v>
      </c>
      <c r="F21" s="122">
        <v>20110.96</v>
      </c>
      <c r="G21" s="122">
        <f>SUM(B21:F21)</f>
        <v>600178.25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406</v>
      </c>
      <c r="B22" s="126">
        <v>0</v>
      </c>
      <c r="C22" s="126">
        <v>93705.38</v>
      </c>
      <c r="D22" s="126">
        <v>19375.21</v>
      </c>
      <c r="E22" s="122">
        <v>1078.82</v>
      </c>
      <c r="F22" s="122">
        <v>0</v>
      </c>
      <c r="G22" s="122">
        <f>SUM(B22:F22)</f>
        <v>114159.41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385</v>
      </c>
      <c r="B23" s="126">
        <v>0</v>
      </c>
      <c r="C23" s="126">
        <v>2850.76</v>
      </c>
      <c r="D23" s="126">
        <v>0</v>
      </c>
      <c r="E23" s="122">
        <v>0</v>
      </c>
      <c r="F23" s="122">
        <v>0</v>
      </c>
      <c r="G23" s="122">
        <f>SUM(B23:F23)</f>
        <v>2850.76</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33" t="s">
        <v>386</v>
      </c>
      <c r="B24" s="138">
        <f aca="true" t="shared" si="2" ref="B24:G24">SUM(B21:B23)</f>
        <v>0</v>
      </c>
      <c r="C24" s="138">
        <f t="shared" si="2"/>
        <v>434423.23000000004</v>
      </c>
      <c r="D24" s="138">
        <f t="shared" si="2"/>
        <v>250677.06</v>
      </c>
      <c r="E24" s="332">
        <f t="shared" si="2"/>
        <v>11977.17</v>
      </c>
      <c r="F24" s="332">
        <f t="shared" si="2"/>
        <v>20110.96</v>
      </c>
      <c r="G24" s="129">
        <f t="shared" si="2"/>
        <v>717188.42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7"/>
      <c r="AK25" s="937"/>
      <c r="AL25" s="937"/>
    </row>
    <row r="26" spans="1:38" s="23" customFormat="1" ht="30" customHeight="1">
      <c r="A26" s="934" t="s">
        <v>443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383</v>
      </c>
      <c r="B27" s="122">
        <f aca="true" t="shared" si="3" ref="B27:F29">B9+B15-B21</f>
        <v>552469.5900000001</v>
      </c>
      <c r="C27" s="122">
        <f t="shared" si="3"/>
        <v>463793.00999999995</v>
      </c>
      <c r="D27" s="122">
        <f t="shared" si="3"/>
        <v>-66553.66</v>
      </c>
      <c r="E27" s="122">
        <f t="shared" si="3"/>
        <v>1279.710000000001</v>
      </c>
      <c r="F27" s="122">
        <f t="shared" si="3"/>
        <v>1317.9400000000023</v>
      </c>
      <c r="G27" s="122">
        <f>SUM(B27:F27)</f>
        <v>952306.5900000001</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384</v>
      </c>
      <c r="B28" s="122">
        <f>B10+B16-B22-1</f>
        <v>210139.62</v>
      </c>
      <c r="C28" s="122">
        <f t="shared" si="3"/>
        <v>316406.16000000003</v>
      </c>
      <c r="D28" s="122">
        <f>D10+D16-D22+1</f>
        <v>52950.01</v>
      </c>
      <c r="E28" s="122">
        <f t="shared" si="3"/>
        <v>7124.490000000002</v>
      </c>
      <c r="F28" s="122">
        <f t="shared" si="3"/>
        <v>717.48</v>
      </c>
      <c r="G28" s="122">
        <f>SUM(B28:F28)-1</f>
        <v>587336.76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385</v>
      </c>
      <c r="B29" s="122">
        <f t="shared" si="3"/>
        <v>487.56</v>
      </c>
      <c r="C29" s="122">
        <f t="shared" si="3"/>
        <v>3450.8600000000006</v>
      </c>
      <c r="D29" s="122">
        <f t="shared" si="3"/>
        <v>0</v>
      </c>
      <c r="E29" s="122">
        <f t="shared" si="3"/>
        <v>0</v>
      </c>
      <c r="F29" s="122">
        <f t="shared" si="3"/>
        <v>0</v>
      </c>
      <c r="G29" s="122">
        <f>SUM(B29:F29)+1</f>
        <v>3939.4200000000005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386</v>
      </c>
      <c r="B30" s="345">
        <f>SUM(B27:B29)+1</f>
        <v>763097.7700000001</v>
      </c>
      <c r="C30" s="345">
        <f>SUM(C27:C29)</f>
        <v>783650.0299999999</v>
      </c>
      <c r="D30" s="345">
        <f>SUM(D27:D29)</f>
        <v>-13603.650000000001</v>
      </c>
      <c r="E30" s="345">
        <f>SUM(E27:E29)</f>
        <v>8404.200000000003</v>
      </c>
      <c r="F30" s="345">
        <f>SUM(F27:F29)</f>
        <v>2035.4200000000023</v>
      </c>
      <c r="G30" s="345">
        <f>SUM(G27:G29)</f>
        <v>1543582.77</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3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258</v>
      </c>
      <c r="B1" s="307"/>
      <c r="C1" s="307"/>
      <c r="D1" s="324"/>
      <c r="E1" s="324"/>
      <c r="F1" s="324"/>
      <c r="G1" s="325"/>
    </row>
    <row r="2" spans="1:7" ht="19.5" customHeight="1">
      <c r="A2" s="19"/>
      <c r="B2" s="308"/>
      <c r="C2" s="308"/>
      <c r="D2" s="326"/>
      <c r="E2" s="326"/>
      <c r="F2" s="308"/>
      <c r="G2" s="308"/>
    </row>
    <row r="3" spans="1:7" s="103" customFormat="1" ht="18.75">
      <c r="A3" s="102" t="s">
        <v>392</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42</v>
      </c>
      <c r="C6" s="310" t="s">
        <v>46</v>
      </c>
      <c r="D6" s="322" t="s">
        <v>147</v>
      </c>
      <c r="E6" s="322" t="s">
        <v>220</v>
      </c>
      <c r="F6" s="322" t="s">
        <v>98</v>
      </c>
      <c r="G6" s="323" t="s">
        <v>259</v>
      </c>
    </row>
    <row r="7" spans="1:7" ht="15.75">
      <c r="A7" s="105" t="s">
        <v>393</v>
      </c>
      <c r="D7" s="330"/>
      <c r="E7" s="330"/>
      <c r="F7" s="330"/>
      <c r="G7" s="330"/>
    </row>
    <row r="8" spans="1:8" ht="15">
      <c r="A8" s="105" t="s">
        <v>394</v>
      </c>
      <c r="B8" s="311"/>
      <c r="C8" s="311"/>
      <c r="D8" s="330"/>
      <c r="E8" s="330"/>
      <c r="F8" s="330"/>
      <c r="G8" s="330"/>
      <c r="H8" s="114"/>
    </row>
    <row r="9" spans="1:8" ht="14.25">
      <c r="A9" s="106" t="s">
        <v>395</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241</v>
      </c>
    </row>
    <row r="10" spans="1:8" s="23" customFormat="1" ht="14.25">
      <c r="A10" s="107" t="s">
        <v>396</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242</v>
      </c>
    </row>
    <row r="11" spans="1:8" s="23" customFormat="1" ht="14.25">
      <c r="A11" s="107" t="s">
        <v>397</v>
      </c>
      <c r="B11" s="315" t="e">
        <f>+'[1]TB03-31-04(Final)'!D386</f>
        <v>#REF!</v>
      </c>
      <c r="C11" s="315" t="e">
        <f>+'[1]TB03-31-04(Final)'!F385</f>
        <v>#REF!</v>
      </c>
      <c r="D11" s="315" t="e">
        <f>+'[1]TB03-31-04(Final)'!F384</f>
        <v>#REF!</v>
      </c>
      <c r="E11" s="315">
        <f>+'[1]TB03-31-04(Final)'!F382</f>
        <v>0</v>
      </c>
      <c r="F11" s="315">
        <f>+'[1]TB03-31-04(Final)'!F381</f>
        <v>0</v>
      </c>
      <c r="G11" s="331" t="e">
        <f>SUM(B11:F11)</f>
        <v>#REF!</v>
      </c>
      <c r="H11" s="25" t="s">
        <v>243</v>
      </c>
    </row>
    <row r="12" spans="1:8" s="23" customFormat="1" ht="15.75" thickBot="1">
      <c r="A12" s="108" t="s">
        <v>386</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156</v>
      </c>
      <c r="B14" s="126"/>
      <c r="C14" s="126"/>
      <c r="D14" s="331"/>
      <c r="E14" s="331"/>
      <c r="F14" s="331"/>
      <c r="G14" s="331"/>
    </row>
    <row r="15" spans="1:7" s="23" customFormat="1" ht="14.25">
      <c r="A15" s="106" t="s">
        <v>398</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399</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400</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386</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208</v>
      </c>
      <c r="B20" s="312" t="s">
        <v>257</v>
      </c>
      <c r="C20" s="312" t="s">
        <v>257</v>
      </c>
      <c r="D20" s="331"/>
      <c r="E20" s="331"/>
      <c r="F20" s="331"/>
      <c r="G20" s="331"/>
    </row>
    <row r="21" spans="1:7" s="23" customFormat="1" ht="14.25">
      <c r="A21" s="106" t="s">
        <v>398</v>
      </c>
      <c r="B21" s="126">
        <v>0</v>
      </c>
      <c r="C21" s="126">
        <v>3812745.98</v>
      </c>
      <c r="D21" s="331">
        <v>796383.95</v>
      </c>
      <c r="E21" s="331">
        <v>173012</v>
      </c>
      <c r="F21" s="331">
        <f>4+76330.03</f>
        <v>76334.03</v>
      </c>
      <c r="G21" s="331">
        <f>SUM(B21:F21)</f>
        <v>4858475.96</v>
      </c>
    </row>
    <row r="22" spans="1:7" s="23" customFormat="1" ht="14.25">
      <c r="A22" s="106" t="s">
        <v>399</v>
      </c>
      <c r="B22" s="126">
        <v>0</v>
      </c>
      <c r="C22" s="126">
        <v>582572.89</v>
      </c>
      <c r="D22" s="331">
        <v>136273.61</v>
      </c>
      <c r="E22" s="331">
        <v>-982</v>
      </c>
      <c r="F22" s="331">
        <f>365.82+1967</f>
        <v>2332.82</v>
      </c>
      <c r="G22" s="331">
        <f>SUM(B22:F22)</f>
        <v>720197.32</v>
      </c>
    </row>
    <row r="23" spans="1:7" s="23" customFormat="1" ht="14.25">
      <c r="A23" s="106" t="s">
        <v>400</v>
      </c>
      <c r="B23" s="126">
        <v>0</v>
      </c>
      <c r="C23" s="126">
        <v>8803.51</v>
      </c>
      <c r="D23" s="331">
        <v>0</v>
      </c>
      <c r="E23" s="331">
        <v>0</v>
      </c>
      <c r="F23" s="331">
        <v>0</v>
      </c>
      <c r="G23" s="331">
        <f>SUM(B23:F23)</f>
        <v>8803.51</v>
      </c>
    </row>
    <row r="24" spans="1:8" s="23" customFormat="1" ht="15.75" thickBot="1">
      <c r="A24" s="108" t="s">
        <v>386</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401</v>
      </c>
      <c r="B26" s="126"/>
      <c r="C26" s="126"/>
      <c r="D26" s="331"/>
      <c r="E26" s="331"/>
      <c r="F26" s="331"/>
      <c r="G26" s="331"/>
    </row>
    <row r="27" spans="1:9" s="23" customFormat="1" ht="14.25">
      <c r="A27" s="106" t="s">
        <v>398</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374</v>
      </c>
      <c r="I27" s="23" t="s">
        <v>377</v>
      </c>
    </row>
    <row r="28" spans="1:8" s="23" customFormat="1" ht="14.25">
      <c r="A28" s="106" t="s">
        <v>399</v>
      </c>
      <c r="B28" s="331" t="e">
        <f t="shared" si="1"/>
        <v>#REF!</v>
      </c>
      <c r="C28" s="331" t="e">
        <f t="shared" si="1"/>
        <v>#REF!</v>
      </c>
      <c r="D28" s="331" t="e">
        <f t="shared" si="2"/>
        <v>#REF!</v>
      </c>
      <c r="E28" s="331">
        <f t="shared" si="2"/>
        <v>70972.57</v>
      </c>
      <c r="F28" s="331" t="e">
        <f>F10+(F16-F22)</f>
        <v>#REF!</v>
      </c>
      <c r="G28" s="331" t="e">
        <f>SUM(B28:F28)</f>
        <v>#REF!</v>
      </c>
      <c r="H28" s="25" t="s">
        <v>375</v>
      </c>
    </row>
    <row r="29" spans="1:8" s="23" customFormat="1" ht="14.25">
      <c r="A29" s="106" t="s">
        <v>400</v>
      </c>
      <c r="B29" s="331" t="e">
        <f t="shared" si="1"/>
        <v>#REF!</v>
      </c>
      <c r="C29" s="331" t="e">
        <f t="shared" si="1"/>
        <v>#REF!</v>
      </c>
      <c r="D29" s="331" t="e">
        <f t="shared" si="2"/>
        <v>#REF!</v>
      </c>
      <c r="E29" s="331">
        <f t="shared" si="2"/>
        <v>0</v>
      </c>
      <c r="F29" s="331" t="e">
        <f>F11+(F17-F23)</f>
        <v>#REF!</v>
      </c>
      <c r="G29" s="331" t="e">
        <f>SUM(B29:F29)</f>
        <v>#REF!</v>
      </c>
      <c r="H29" s="25" t="s">
        <v>376</v>
      </c>
    </row>
    <row r="30" spans="1:9" ht="15.75" thickBot="1">
      <c r="A30" s="108" t="s">
        <v>386</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437</v>
      </c>
      <c r="D33" s="350"/>
      <c r="E33" s="350"/>
      <c r="F33" s="350"/>
      <c r="G33" s="351" t="s">
        <v>435</v>
      </c>
    </row>
    <row r="34" spans="1:7" ht="14.25">
      <c r="A34" s="106" t="s">
        <v>398</v>
      </c>
      <c r="B34" s="126">
        <f>468189.06-222137.25</f>
        <v>246051.81</v>
      </c>
      <c r="C34" s="126">
        <f>468189.06-222137.25</f>
        <v>246051.81</v>
      </c>
      <c r="D34" s="126">
        <f>448199.18-670918.35</f>
        <v>-222719.16999999998</v>
      </c>
      <c r="E34" s="352">
        <v>0</v>
      </c>
      <c r="F34" s="352">
        <v>0</v>
      </c>
      <c r="G34" s="122">
        <f>SUM(B34:F34)</f>
        <v>269384.45</v>
      </c>
    </row>
    <row r="35" spans="1:7" ht="14.25">
      <c r="A35" s="106" t="s">
        <v>399</v>
      </c>
      <c r="B35" s="126">
        <f>175542.97-81939.83</f>
        <v>93603.14</v>
      </c>
      <c r="C35" s="126">
        <f>175542.97-81939.83</f>
        <v>93603.14</v>
      </c>
      <c r="D35" s="126">
        <f>180110.78-278566.43</f>
        <v>-98455.65</v>
      </c>
      <c r="E35" s="352">
        <v>0</v>
      </c>
      <c r="F35" s="352">
        <v>0</v>
      </c>
      <c r="G35" s="122">
        <f>SUM(B35:F35)</f>
        <v>88750.63</v>
      </c>
    </row>
    <row r="36" spans="1:7" ht="14.25">
      <c r="A36" s="106" t="s">
        <v>400</v>
      </c>
      <c r="B36" s="126">
        <f>3215.61-1526.93</f>
        <v>1688.68</v>
      </c>
      <c r="C36" s="126">
        <f>3215.61-1526.93</f>
        <v>1688.68</v>
      </c>
      <c r="D36" s="126">
        <f>3443.46-5433.83</f>
        <v>-1990.37</v>
      </c>
      <c r="E36" s="352">
        <v>0</v>
      </c>
      <c r="F36" s="352">
        <v>0</v>
      </c>
      <c r="G36" s="122">
        <f>SUM(B36:F36)</f>
        <v>1386.9900000000002</v>
      </c>
    </row>
    <row r="37" spans="1:7" ht="15.75" thickBot="1">
      <c r="A37" s="108" t="s">
        <v>386</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277</v>
      </c>
      <c r="B39" s="322" t="s">
        <v>46</v>
      </c>
      <c r="C39" s="322" t="s">
        <v>46</v>
      </c>
      <c r="D39" s="322" t="s">
        <v>147</v>
      </c>
      <c r="E39" s="322" t="s">
        <v>220</v>
      </c>
      <c r="F39" s="322" t="s">
        <v>292</v>
      </c>
      <c r="G39" s="323" t="s">
        <v>259</v>
      </c>
      <c r="H39" s="251"/>
    </row>
    <row r="40" spans="2:8" ht="15.75">
      <c r="B40" s="313"/>
      <c r="C40" s="313"/>
      <c r="D40" s="318"/>
      <c r="E40" s="318"/>
      <c r="F40" s="320"/>
      <c r="G40" s="315"/>
      <c r="H40" s="252" t="e">
        <f>+'[1]TB03-31-04(Final)'!G455</f>
        <v>#REF!</v>
      </c>
    </row>
    <row r="41" spans="1:8" ht="12.75" customHeight="1">
      <c r="A41" s="106" t="s">
        <v>398</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399</v>
      </c>
      <c r="B42" s="314" t="e">
        <f>+B28-B35</f>
        <v>#REF!</v>
      </c>
      <c r="C42" s="314" t="e">
        <f t="shared" si="4"/>
        <v>#REF!</v>
      </c>
      <c r="D42" s="314" t="e">
        <f t="shared" si="4"/>
        <v>#REF!</v>
      </c>
      <c r="E42" s="314">
        <f t="shared" si="4"/>
        <v>70972.57</v>
      </c>
      <c r="F42" s="314" t="e">
        <f t="shared" si="4"/>
        <v>#REF!</v>
      </c>
      <c r="G42" s="315" t="e">
        <f>SUM(C42:F42)</f>
        <v>#REF!</v>
      </c>
      <c r="H42" s="96"/>
    </row>
    <row r="43" spans="1:8" ht="14.25">
      <c r="A43" s="106" t="s">
        <v>400</v>
      </c>
      <c r="B43" s="314" t="e">
        <f>+B29-B36</f>
        <v>#REF!</v>
      </c>
      <c r="C43" s="314" t="e">
        <f>+C29-C36</f>
        <v>#REF!</v>
      </c>
      <c r="D43" s="314" t="e">
        <f>+D29-D36</f>
        <v>#REF!</v>
      </c>
      <c r="E43" s="314">
        <f>+E29-E35</f>
        <v>0</v>
      </c>
      <c r="F43" s="314" t="e">
        <f>+F29-F35</f>
        <v>#REF!</v>
      </c>
      <c r="G43" s="315" t="e">
        <f>SUM(C43:F43)</f>
        <v>#REF!</v>
      </c>
      <c r="H43" s="96"/>
    </row>
    <row r="44" spans="1:8" ht="15.75" thickBot="1">
      <c r="A44" s="108" t="s">
        <v>386</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1"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5" t="s">
        <v>258</v>
      </c>
      <c r="C1" s="956"/>
      <c r="D1" s="956"/>
      <c r="E1" s="956"/>
      <c r="F1" s="956"/>
      <c r="G1" s="956"/>
      <c r="H1" s="956"/>
      <c r="I1" s="957"/>
    </row>
    <row r="2" spans="2:9" s="11" customFormat="1" ht="19.5">
      <c r="B2" s="964"/>
      <c r="C2" s="965"/>
      <c r="D2" s="965"/>
      <c r="E2" s="965"/>
      <c r="F2" s="965"/>
      <c r="G2" s="623"/>
      <c r="H2" s="624"/>
      <c r="I2" s="625"/>
    </row>
    <row r="3" spans="2:9" s="12" customFormat="1" ht="16.5">
      <c r="B3" s="958" t="s">
        <v>212</v>
      </c>
      <c r="C3" s="959"/>
      <c r="D3" s="959"/>
      <c r="E3" s="959"/>
      <c r="F3" s="959"/>
      <c r="G3" s="959"/>
      <c r="H3" s="959"/>
      <c r="I3" s="960"/>
    </row>
    <row r="4" spans="2:9" s="12" customFormat="1" ht="16.5">
      <c r="B4" s="961" t="s">
        <v>155</v>
      </c>
      <c r="C4" s="962"/>
      <c r="D4" s="962"/>
      <c r="E4" s="962"/>
      <c r="F4" s="962"/>
      <c r="G4" s="962"/>
      <c r="H4" s="962"/>
      <c r="I4" s="963"/>
    </row>
    <row r="5" spans="2:9" ht="15">
      <c r="B5" s="626"/>
      <c r="C5" s="651"/>
      <c r="D5" s="651"/>
      <c r="E5" s="953" t="s">
        <v>139</v>
      </c>
      <c r="F5" s="953"/>
      <c r="G5" s="650"/>
      <c r="H5" s="953" t="s">
        <v>140</v>
      </c>
      <c r="I5" s="954"/>
    </row>
    <row r="6" spans="2:9" ht="45">
      <c r="B6" s="626"/>
      <c r="C6" s="627" t="s">
        <v>213</v>
      </c>
      <c r="D6" s="627" t="s">
        <v>214</v>
      </c>
      <c r="E6" s="627" t="s">
        <v>215</v>
      </c>
      <c r="F6" s="627" t="s">
        <v>216</v>
      </c>
      <c r="G6" s="628"/>
      <c r="H6" s="627" t="s">
        <v>215</v>
      </c>
      <c r="I6" s="649" t="s">
        <v>216</v>
      </c>
    </row>
    <row r="7" spans="1:9" ht="15">
      <c r="A7" s="14" t="s">
        <v>431</v>
      </c>
      <c r="B7" s="629" t="s">
        <v>260</v>
      </c>
      <c r="C7" s="476"/>
      <c r="D7" s="476"/>
      <c r="E7" s="476"/>
      <c r="F7" s="476"/>
      <c r="G7" s="628"/>
      <c r="H7" s="614"/>
      <c r="I7" s="614"/>
    </row>
    <row r="8" spans="1:9" ht="14.25">
      <c r="A8" s="14">
        <v>5</v>
      </c>
      <c r="B8" s="630" t="s">
        <v>218</v>
      </c>
      <c r="C8" s="477"/>
      <c r="D8" s="477"/>
      <c r="E8" s="477"/>
      <c r="F8" s="477"/>
      <c r="G8" s="631"/>
      <c r="H8" s="615"/>
      <c r="I8" s="615"/>
    </row>
    <row r="9" spans="2:9" ht="14.25">
      <c r="B9" s="630" t="s">
        <v>219</v>
      </c>
      <c r="C9" s="477">
        <f>+'[1]TB03-31-04(Final)'!G16+'[1]TB03-31-04(Final)'!G23</f>
        <v>9850900.019999998</v>
      </c>
      <c r="D9" s="484">
        <v>0</v>
      </c>
      <c r="E9" s="484">
        <v>0</v>
      </c>
      <c r="F9" s="477">
        <f>SUM(C9:E9)</f>
        <v>9850900.019999998</v>
      </c>
      <c r="G9" s="631"/>
      <c r="H9" s="615"/>
      <c r="I9" s="616">
        <f>+'[7]Balance Sheet (pg 1)'!$E$9</f>
        <v>9779587.32</v>
      </c>
    </row>
    <row r="10" spans="1:9" ht="14.25">
      <c r="A10" s="14">
        <v>11</v>
      </c>
      <c r="B10" s="630" t="s">
        <v>146</v>
      </c>
      <c r="C10" s="485">
        <v>0</v>
      </c>
      <c r="D10" s="485">
        <f>+'[1]TB03-31-04(Final)'!G25</f>
        <v>10038.47</v>
      </c>
      <c r="E10" s="485">
        <v>0</v>
      </c>
      <c r="F10" s="485">
        <f>SUM(C10:E10)</f>
        <v>10038.47</v>
      </c>
      <c r="G10" s="631"/>
      <c r="H10" s="615"/>
      <c r="I10" s="617">
        <f>+'[7]Balance Sheet (pg 1)'!$E$10</f>
        <v>9035.63</v>
      </c>
    </row>
    <row r="11" spans="1:9" ht="14.25" customHeight="1">
      <c r="A11" s="14">
        <v>18</v>
      </c>
      <c r="B11" s="630" t="s">
        <v>262</v>
      </c>
      <c r="C11" s="485">
        <f>+'[1]TB03-31-04(Final)'!E1029</f>
        <v>172930.65000000002</v>
      </c>
      <c r="D11" s="485">
        <v>0</v>
      </c>
      <c r="E11" s="485">
        <f>C11</f>
        <v>172930.65000000002</v>
      </c>
      <c r="F11" s="485">
        <f>+C11-E11</f>
        <v>0</v>
      </c>
      <c r="G11" s="631"/>
      <c r="H11" s="617">
        <f>+'[7]Balance Sheet (pg 1)'!$D$11</f>
        <v>240717.92</v>
      </c>
      <c r="I11" s="618">
        <f>+'[7]Balance Sheet (pg 1)'!$E$11</f>
        <v>0</v>
      </c>
    </row>
    <row r="12" spans="1:9" ht="14.25" customHeight="1">
      <c r="A12" s="14">
        <v>17</v>
      </c>
      <c r="B12" s="630" t="s">
        <v>264</v>
      </c>
      <c r="C12" s="485">
        <f>+'[1]TB03-31-04(Final)'!G1033</f>
        <v>52339.42</v>
      </c>
      <c r="D12" s="485">
        <v>0</v>
      </c>
      <c r="E12" s="485">
        <v>0</v>
      </c>
      <c r="F12" s="485">
        <f>+C12-E12</f>
        <v>52339.42</v>
      </c>
      <c r="G12" s="631"/>
      <c r="H12" s="615"/>
      <c r="I12" s="618">
        <f>+'[7]Balance Sheet (pg 1)'!$E$12</f>
        <v>20473.260000000002</v>
      </c>
    </row>
    <row r="13" spans="1:9" ht="15.75" customHeight="1">
      <c r="A13" s="14">
        <v>18</v>
      </c>
      <c r="B13" s="630" t="s">
        <v>265</v>
      </c>
      <c r="C13" s="485">
        <f>+'[1]TB03-31-04(Final)'!E1038</f>
        <v>46955.560000000005</v>
      </c>
      <c r="D13" s="485">
        <v>0</v>
      </c>
      <c r="E13" s="485">
        <f>C13</f>
        <v>46955.560000000005</v>
      </c>
      <c r="F13" s="485">
        <f>+C13-E13</f>
        <v>0</v>
      </c>
      <c r="G13" s="631"/>
      <c r="H13" s="617">
        <f>+'[7]Balance Sheet (pg 1)'!$D$13</f>
        <v>58331.310000000005</v>
      </c>
      <c r="I13" s="618">
        <f>+'[7]Balance Sheet (pg 1)'!$E$13</f>
        <v>0</v>
      </c>
    </row>
    <row r="14" spans="1:9" ht="14.25">
      <c r="A14" s="14">
        <v>23</v>
      </c>
      <c r="B14" s="632" t="s">
        <v>157</v>
      </c>
      <c r="C14" s="485">
        <v>0</v>
      </c>
      <c r="D14" s="485">
        <v>0</v>
      </c>
      <c r="E14" s="485">
        <v>0</v>
      </c>
      <c r="F14" s="485">
        <f>+C14-E14</f>
        <v>0</v>
      </c>
      <c r="G14" s="631"/>
      <c r="H14" s="621">
        <f>+'[7]Balance Sheet (pg 1)'!$D$16</f>
        <v>335155</v>
      </c>
      <c r="I14" s="618">
        <f>+'[7]Balance Sheet (pg 1)'!$E$16</f>
        <v>0</v>
      </c>
    </row>
    <row r="15" spans="1:9" ht="14.25">
      <c r="A15" s="14">
        <v>23</v>
      </c>
      <c r="B15" s="633" t="s">
        <v>158</v>
      </c>
      <c r="C15" s="622">
        <v>0</v>
      </c>
      <c r="D15" s="622">
        <v>0</v>
      </c>
      <c r="E15" s="622">
        <f>C15</f>
        <v>0</v>
      </c>
      <c r="F15" s="622">
        <f>+C15-E15</f>
        <v>0</v>
      </c>
      <c r="G15" s="634"/>
      <c r="H15" s="621">
        <v>42501</v>
      </c>
      <c r="I15" s="620">
        <f>+'[7]Balance Sheet (pg 1)'!$E$14</f>
        <v>0</v>
      </c>
    </row>
    <row r="16" spans="1:9" ht="14.25">
      <c r="A16" s="14">
        <v>23</v>
      </c>
      <c r="B16" s="632" t="s">
        <v>159</v>
      </c>
      <c r="C16" s="486" t="e">
        <f>+'[1]TB03-31-04(Final)'!F1025</f>
        <v>#REF!</v>
      </c>
      <c r="D16" s="485">
        <v>0</v>
      </c>
      <c r="E16" s="485">
        <v>0</v>
      </c>
      <c r="F16" s="485" t="e">
        <f>+C16-D16-E16</f>
        <v>#REF!</v>
      </c>
      <c r="G16" s="631"/>
      <c r="H16" s="621">
        <f>+'[7]Balance Sheet (pg 1)'!$D$17</f>
        <v>4979.98</v>
      </c>
      <c r="I16" s="618">
        <f>+'[7]Balance Sheet (pg 1)'!$E$17</f>
        <v>0</v>
      </c>
    </row>
    <row r="17" spans="2:9" ht="15">
      <c r="B17" s="635" t="s">
        <v>266</v>
      </c>
      <c r="C17" s="478" t="e">
        <f>SUM(C9:C16)</f>
        <v>#REF!</v>
      </c>
      <c r="D17" s="478">
        <f>SUM(D9:D16)</f>
        <v>10038.47</v>
      </c>
      <c r="E17" s="478">
        <f>SUM(E9:E16)</f>
        <v>219886.21000000002</v>
      </c>
      <c r="F17" s="478" t="e">
        <f>SUM(F9:F16)</f>
        <v>#REF!</v>
      </c>
      <c r="G17" s="631"/>
      <c r="H17" s="478">
        <f>SUM(H7:H16)</f>
        <v>681685.21</v>
      </c>
      <c r="I17" s="478">
        <f>SUM(I9:I16)</f>
        <v>9809096.21</v>
      </c>
    </row>
    <row r="18" spans="2:9" ht="14.25">
      <c r="B18" s="636"/>
      <c r="C18" s="479"/>
      <c r="D18" s="479"/>
      <c r="E18" s="479"/>
      <c r="F18" s="479"/>
      <c r="G18" s="631"/>
      <c r="H18" s="637"/>
      <c r="I18" s="638"/>
    </row>
    <row r="19" spans="1:9" ht="15">
      <c r="A19" s="688" t="s">
        <v>430</v>
      </c>
      <c r="B19" s="639" t="s">
        <v>267</v>
      </c>
      <c r="C19" s="479"/>
      <c r="D19" s="479"/>
      <c r="E19" s="479"/>
      <c r="F19" s="479"/>
      <c r="G19" s="631"/>
      <c r="H19" s="22"/>
      <c r="I19" s="638"/>
    </row>
    <row r="20" spans="1:9" ht="15">
      <c r="A20" s="14">
        <v>1</v>
      </c>
      <c r="B20" s="640" t="s">
        <v>142</v>
      </c>
      <c r="C20" s="479"/>
      <c r="D20" s="480"/>
      <c r="E20" s="488">
        <f>-'[1]TB3-31-04 (Pre)'!F199</f>
        <v>47682</v>
      </c>
      <c r="F20" s="480"/>
      <c r="G20" s="631"/>
      <c r="H20" s="344">
        <f>+'[7]Balance Sheet (pg 1)'!$D$26</f>
        <v>91297.81</v>
      </c>
      <c r="I20" s="638"/>
    </row>
    <row r="21" spans="1:9" ht="15">
      <c r="A21" s="14">
        <v>3</v>
      </c>
      <c r="B21" s="640" t="s">
        <v>143</v>
      </c>
      <c r="C21" s="479"/>
      <c r="D21" s="480"/>
      <c r="E21" s="488">
        <f>-'[1]TB3-31-04 (Pre)'!F198</f>
        <v>6748.45</v>
      </c>
      <c r="F21" s="489"/>
      <c r="G21" s="631"/>
      <c r="H21" s="344"/>
      <c r="I21" s="638"/>
    </row>
    <row r="22" spans="1:9" ht="15">
      <c r="A22" s="14">
        <v>4</v>
      </c>
      <c r="B22" s="640" t="s">
        <v>144</v>
      </c>
      <c r="C22" s="479"/>
      <c r="D22" s="551"/>
      <c r="E22" s="488">
        <f>-'[1]TB03-31-04(Final)'!G272</f>
        <v>263743.5</v>
      </c>
      <c r="F22" s="479"/>
      <c r="G22" s="631"/>
      <c r="H22" s="344">
        <f>+'[7]Balance Sheet (pg 1)'!$D$25</f>
        <v>113994.26000000001</v>
      </c>
      <c r="I22" s="638"/>
    </row>
    <row r="23" spans="1:9" ht="15">
      <c r="A23" s="14">
        <v>5</v>
      </c>
      <c r="B23" s="640" t="s">
        <v>104</v>
      </c>
      <c r="C23" s="479"/>
      <c r="D23" s="551"/>
      <c r="E23" s="488">
        <f>-'[1]TB03-31-04(Final)'!G207</f>
        <v>20527.9</v>
      </c>
      <c r="F23" s="479"/>
      <c r="G23" s="631"/>
      <c r="H23" s="127">
        <f>-'[6]TB09-30-02(Final)'!$F$195</f>
        <v>37678.14</v>
      </c>
      <c r="I23" s="638"/>
    </row>
    <row r="24" spans="1:9" ht="15" customHeight="1">
      <c r="A24" s="14">
        <v>6</v>
      </c>
      <c r="B24" s="640" t="s">
        <v>145</v>
      </c>
      <c r="C24" s="479"/>
      <c r="D24" s="479"/>
      <c r="E24" s="488">
        <f>-'[1]TB03-31-04(Final)'!G199</f>
        <v>50113.97</v>
      </c>
      <c r="F24" s="479"/>
      <c r="G24" s="631"/>
      <c r="H24" s="344">
        <f>+'[7]Balance Sheet (pg 1)'!$D$37</f>
        <v>34740</v>
      </c>
      <c r="I24" s="638"/>
    </row>
    <row r="25" spans="1:9" ht="15">
      <c r="A25" s="14">
        <v>10</v>
      </c>
      <c r="B25" s="640" t="s">
        <v>17</v>
      </c>
      <c r="C25" s="479"/>
      <c r="D25" s="480"/>
      <c r="E25" s="488">
        <f>-'[1]TB03-31-04(Final)'!G267</f>
        <v>446013</v>
      </c>
      <c r="F25" s="479"/>
      <c r="G25" s="631"/>
      <c r="H25" s="344">
        <f>+'[7]Balance Sheet (pg 1)'!$D$24</f>
        <v>364716</v>
      </c>
      <c r="I25" s="638"/>
    </row>
    <row r="26" spans="1:9" ht="15">
      <c r="A26" s="14">
        <v>14</v>
      </c>
      <c r="B26" s="640" t="s">
        <v>160</v>
      </c>
      <c r="C26" s="479"/>
      <c r="D26" s="480"/>
      <c r="E26" s="488">
        <f>-'[1]TB03-31-04(Final)'!G256</f>
        <v>294617.31</v>
      </c>
      <c r="F26" s="479"/>
      <c r="G26" s="631"/>
      <c r="H26" s="344">
        <f>+'[7]Balance Sheet (pg 1)'!$D$23</f>
        <v>965550.22</v>
      </c>
      <c r="I26" s="638"/>
    </row>
    <row r="27" spans="1:9" ht="15">
      <c r="A27" s="14">
        <v>27</v>
      </c>
      <c r="B27" s="640" t="s">
        <v>445</v>
      </c>
      <c r="C27" s="479"/>
      <c r="D27" s="480"/>
      <c r="E27" s="488">
        <f>-'[1]TB03-31-04(Final)'!G258</f>
        <v>1290906</v>
      </c>
      <c r="F27" s="479"/>
      <c r="G27" s="631"/>
      <c r="H27" s="344">
        <f>+'[7]Balance Sheet (pg 1)'!$D$22</f>
        <v>618846.84</v>
      </c>
      <c r="I27" s="638"/>
    </row>
    <row r="28" spans="1:9" ht="15">
      <c r="A28" s="14">
        <v>27</v>
      </c>
      <c r="B28" s="640" t="s">
        <v>446</v>
      </c>
      <c r="C28" s="479"/>
      <c r="D28" s="480"/>
      <c r="E28" s="487">
        <f>-'[1]TB03-31-04(Final)'!G260</f>
        <v>505030.11</v>
      </c>
      <c r="F28" s="479"/>
      <c r="G28" s="631"/>
      <c r="H28" s="344">
        <v>0</v>
      </c>
      <c r="I28" s="638"/>
    </row>
    <row r="29" spans="2:9" ht="14.25">
      <c r="B29" s="640"/>
      <c r="C29" s="641"/>
      <c r="D29" s="479"/>
      <c r="E29" s="479"/>
      <c r="F29" s="488"/>
      <c r="G29" s="631"/>
      <c r="H29" s="344"/>
      <c r="I29" s="638"/>
    </row>
    <row r="30" spans="2:9" ht="15">
      <c r="B30" s="643" t="s">
        <v>161</v>
      </c>
      <c r="C30" s="479"/>
      <c r="D30" s="479"/>
      <c r="E30" s="479"/>
      <c r="F30" s="489">
        <f>SUM(E20:E28)</f>
        <v>2925382.2399999998</v>
      </c>
      <c r="G30" s="631"/>
      <c r="H30" s="344"/>
      <c r="I30" s="642">
        <f>SUM(H25:H28)</f>
        <v>1949113.06</v>
      </c>
    </row>
    <row r="31" spans="2:9" ht="14.25">
      <c r="B31" s="636"/>
      <c r="C31" s="479"/>
      <c r="D31" s="479"/>
      <c r="E31" s="479"/>
      <c r="F31" s="479"/>
      <c r="G31" s="631"/>
      <c r="H31" s="344"/>
      <c r="I31" s="638"/>
    </row>
    <row r="32" spans="1:9" ht="15">
      <c r="A32" s="14">
        <v>23</v>
      </c>
      <c r="B32" s="639" t="s">
        <v>270</v>
      </c>
      <c r="C32" s="479"/>
      <c r="D32" s="479"/>
      <c r="E32" s="479"/>
      <c r="F32" s="479"/>
      <c r="G32" s="631"/>
      <c r="H32" s="344"/>
      <c r="I32" s="638"/>
    </row>
    <row r="33" spans="1:9" ht="15">
      <c r="A33" s="14">
        <v>9</v>
      </c>
      <c r="B33" s="640" t="s">
        <v>271</v>
      </c>
      <c r="C33" s="479"/>
      <c r="D33" s="480"/>
      <c r="E33" s="488">
        <f>-'[1]TB03-31-04(Final)'!G65</f>
        <v>11049613</v>
      </c>
      <c r="F33" s="479"/>
      <c r="G33" s="631"/>
      <c r="H33" s="344">
        <f>+'[7]Balance Sheet (pg 1)'!$D$31</f>
        <v>8776992</v>
      </c>
      <c r="I33" s="638"/>
    </row>
    <row r="34" spans="1:9" ht="15">
      <c r="A34" s="14">
        <v>114</v>
      </c>
      <c r="B34" s="640" t="s">
        <v>162</v>
      </c>
      <c r="C34" s="479"/>
      <c r="D34" s="480"/>
      <c r="E34" s="488">
        <f>-'[1]TB03-31-04(Final)'!G104</f>
        <v>6198399.7700000005</v>
      </c>
      <c r="F34" s="479"/>
      <c r="G34" s="631"/>
      <c r="H34" s="344">
        <f>+'[7]Balance Sheet (pg 1)'!$D$32</f>
        <v>5068927.600000001</v>
      </c>
      <c r="I34" s="638"/>
    </row>
    <row r="35" spans="1:9" ht="15">
      <c r="A35" s="14">
        <v>114</v>
      </c>
      <c r="B35" s="640" t="s">
        <v>163</v>
      </c>
      <c r="C35" s="479"/>
      <c r="D35" s="480"/>
      <c r="E35" s="488">
        <f>-'[1]TB03-31-04(Final)'!G121</f>
        <v>1364184.0999999999</v>
      </c>
      <c r="F35" s="479"/>
      <c r="G35" s="631"/>
      <c r="H35" s="344">
        <f>+'[7]Balance Sheet (pg 1)'!$D$33</f>
        <v>1302472.2</v>
      </c>
      <c r="I35" s="638"/>
    </row>
    <row r="36" spans="1:9" ht="15">
      <c r="A36" s="14">
        <v>114</v>
      </c>
      <c r="B36" s="640" t="s">
        <v>164</v>
      </c>
      <c r="C36" s="479"/>
      <c r="D36" s="480"/>
      <c r="E36" s="488">
        <f>-'[1]TB03-31-04(Final)'!G159</f>
        <v>524501</v>
      </c>
      <c r="F36" s="479"/>
      <c r="G36" s="631"/>
      <c r="H36" s="344">
        <f>+'[7]Balance Sheet (pg 1)'!$D$34</f>
        <v>394965.17999999993</v>
      </c>
      <c r="I36" s="638"/>
    </row>
    <row r="37" spans="1:9" ht="15">
      <c r="A37" s="14">
        <v>114</v>
      </c>
      <c r="B37" s="640" t="s">
        <v>165</v>
      </c>
      <c r="C37" s="480"/>
      <c r="D37" s="480"/>
      <c r="E37" s="488">
        <f>-'[1]TB03-31-04(Final)'!G193</f>
        <v>226567.97999999998</v>
      </c>
      <c r="F37" s="479"/>
      <c r="G37" s="631"/>
      <c r="H37" s="344">
        <f>+'[7]Balance Sheet (pg 1)'!$D$35</f>
        <v>127127.4</v>
      </c>
      <c r="I37" s="638"/>
    </row>
    <row r="38" spans="1:9" ht="15">
      <c r="A38" s="14">
        <v>5</v>
      </c>
      <c r="B38" s="640" t="s">
        <v>429</v>
      </c>
      <c r="C38" s="479"/>
      <c r="D38" s="480"/>
      <c r="E38" s="524">
        <f>-'[1]TB03-31-04(Final)'!G217</f>
        <v>330321.9</v>
      </c>
      <c r="F38" s="479"/>
      <c r="G38" s="631"/>
      <c r="H38" s="619">
        <f>+'[7]Balance Sheet (pg 1)'!$D$36-H27</f>
        <v>-293990.12999999995</v>
      </c>
      <c r="I38" s="638"/>
    </row>
    <row r="39" spans="2:9" ht="15" customHeight="1">
      <c r="B39" s="640"/>
      <c r="C39" s="479"/>
      <c r="D39" s="479"/>
      <c r="E39" s="488"/>
      <c r="F39" s="479"/>
      <c r="G39" s="631"/>
      <c r="H39" s="344"/>
      <c r="I39" s="638"/>
    </row>
    <row r="40" spans="2:9" ht="15" customHeight="1">
      <c r="B40" s="643" t="s">
        <v>388</v>
      </c>
      <c r="C40" s="479"/>
      <c r="D40" s="479"/>
      <c r="E40" s="480"/>
      <c r="F40" s="489">
        <f>SUM(E33:E38)</f>
        <v>19693587.75</v>
      </c>
      <c r="G40" s="631"/>
      <c r="H40" s="344"/>
      <c r="I40" s="642">
        <f>SUM(H33:H39)</f>
        <v>15376494.25</v>
      </c>
    </row>
    <row r="41" spans="2:9" ht="13.5" customHeight="1">
      <c r="B41" s="643"/>
      <c r="C41" s="479"/>
      <c r="D41" s="479"/>
      <c r="E41" s="480"/>
      <c r="F41" s="482"/>
      <c r="G41" s="631"/>
      <c r="H41" s="344"/>
      <c r="I41" s="638"/>
    </row>
    <row r="42" spans="2:9" ht="13.5" customHeight="1">
      <c r="B42" s="635" t="s">
        <v>273</v>
      </c>
      <c r="C42" s="479"/>
      <c r="D42" s="479"/>
      <c r="E42" s="480"/>
      <c r="F42" s="490">
        <f>F40+F30</f>
        <v>22618969.99</v>
      </c>
      <c r="G42" s="631"/>
      <c r="H42" s="344"/>
      <c r="I42" s="644">
        <f>I40+I30</f>
        <v>17325607.31</v>
      </c>
    </row>
    <row r="43" spans="2:9" ht="15">
      <c r="B43" s="636"/>
      <c r="C43" s="479"/>
      <c r="D43" s="479"/>
      <c r="E43" s="480"/>
      <c r="F43" s="479"/>
      <c r="G43" s="631"/>
      <c r="H43" s="344"/>
      <c r="I43" s="638"/>
    </row>
    <row r="44" spans="2:9" ht="15">
      <c r="B44" s="639" t="s">
        <v>274</v>
      </c>
      <c r="C44" s="479"/>
      <c r="D44" s="479"/>
      <c r="E44" s="480"/>
      <c r="F44" s="479"/>
      <c r="G44" s="631"/>
      <c r="H44" s="344"/>
      <c r="I44" s="638"/>
    </row>
    <row r="45" spans="2:9" ht="15">
      <c r="B45" s="640" t="s">
        <v>141</v>
      </c>
      <c r="C45" s="479"/>
      <c r="D45" s="479"/>
      <c r="E45" s="480"/>
      <c r="F45" s="489" t="e">
        <f>+F17-F42</f>
        <v>#REF!</v>
      </c>
      <c r="G45" s="631"/>
      <c r="H45" s="344"/>
      <c r="I45" s="642">
        <f>+'[7]Balance Sheet (pg 1)'!$E$44</f>
        <v>-8375390.010000002</v>
      </c>
    </row>
    <row r="46" spans="2:9" ht="15">
      <c r="B46" s="636"/>
      <c r="C46" s="480"/>
      <c r="D46" s="480"/>
      <c r="E46" s="480"/>
      <c r="F46" s="479"/>
      <c r="G46" s="631"/>
      <c r="H46" s="344"/>
      <c r="I46" s="638"/>
    </row>
    <row r="47" spans="2:9" ht="15.75" thickBot="1">
      <c r="B47" s="645" t="s">
        <v>275</v>
      </c>
      <c r="C47" s="646"/>
      <c r="D47" s="646"/>
      <c r="E47" s="646"/>
      <c r="F47" s="483" t="e">
        <f>F42+F45</f>
        <v>#REF!</v>
      </c>
      <c r="G47" s="647"/>
      <c r="H47" s="619"/>
      <c r="I47" s="648">
        <f>I42+I45</f>
        <v>8950217.299999997</v>
      </c>
    </row>
    <row r="48" spans="2:7" ht="15" thickTop="1">
      <c r="B48" s="15"/>
      <c r="C48" s="475"/>
      <c r="D48" s="475"/>
      <c r="E48" s="475"/>
      <c r="F48" s="475"/>
      <c r="G48" s="13"/>
    </row>
    <row r="49" spans="2:7" ht="14.25">
      <c r="B49" s="15"/>
      <c r="F49" s="475"/>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2" t="s">
        <v>258</v>
      </c>
      <c r="B1" s="1002"/>
      <c r="C1" s="1002"/>
      <c r="D1" s="1002"/>
      <c r="E1" s="1002"/>
      <c r="F1" s="1002"/>
      <c r="G1" s="1002"/>
      <c r="H1" s="1002"/>
    </row>
    <row r="2" spans="1:8" ht="19.5" customHeight="1">
      <c r="A2" s="1001"/>
      <c r="B2" s="1001"/>
      <c r="C2" s="1001"/>
      <c r="D2" s="1001"/>
      <c r="E2" s="1001"/>
      <c r="F2" s="1001"/>
      <c r="G2" s="1001"/>
      <c r="H2" s="1001"/>
    </row>
    <row r="3" spans="1:8" s="103" customFormat="1" ht="18.75">
      <c r="A3" s="1003" t="s">
        <v>392</v>
      </c>
      <c r="B3" s="1003"/>
      <c r="C3" s="1003"/>
      <c r="D3" s="1003"/>
      <c r="E3" s="1003"/>
      <c r="F3" s="1003"/>
      <c r="G3" s="1003"/>
      <c r="H3" s="1003"/>
    </row>
    <row r="4" spans="1:8" s="103" customFormat="1" ht="18.75">
      <c r="A4" s="1003" t="str">
        <f>+'(7)Premiums YTD8'!A4</f>
        <v>YTD PERIOD MARCH 31st, 2004</v>
      </c>
      <c r="B4" s="1003"/>
      <c r="C4" s="1003"/>
      <c r="D4" s="1003"/>
      <c r="E4" s="1003"/>
      <c r="F4" s="1003"/>
      <c r="G4" s="1003"/>
      <c r="H4" s="1003"/>
    </row>
    <row r="5" spans="1:8" s="103" customFormat="1" ht="16.5">
      <c r="A5" s="456"/>
      <c r="B5" s="378"/>
      <c r="C5" s="378"/>
      <c r="D5" s="457"/>
      <c r="E5" s="457"/>
      <c r="F5" s="457"/>
      <c r="G5" s="379"/>
      <c r="H5" s="457"/>
    </row>
    <row r="6" spans="1:8" ht="30" customHeight="1">
      <c r="A6" s="458"/>
      <c r="B6" s="588" t="s">
        <v>42</v>
      </c>
      <c r="C6" s="588" t="s">
        <v>46</v>
      </c>
      <c r="D6" s="588" t="s">
        <v>147</v>
      </c>
      <c r="E6" s="588" t="s">
        <v>220</v>
      </c>
      <c r="F6" s="588" t="s">
        <v>98</v>
      </c>
      <c r="G6" s="589" t="s">
        <v>240</v>
      </c>
      <c r="H6" s="589" t="s">
        <v>259</v>
      </c>
    </row>
    <row r="7" spans="1:8" s="127" customFormat="1" ht="15.75">
      <c r="A7" s="585" t="s">
        <v>393</v>
      </c>
      <c r="B7" s="459"/>
      <c r="C7" s="459"/>
      <c r="D7" s="460"/>
      <c r="E7" s="460"/>
      <c r="F7" s="460"/>
      <c r="G7" s="460"/>
      <c r="H7" s="460"/>
    </row>
    <row r="8" spans="1:8" s="127" customFormat="1" ht="15">
      <c r="A8" s="585" t="s">
        <v>394</v>
      </c>
      <c r="B8" s="377"/>
      <c r="C8" s="377"/>
      <c r="D8" s="460"/>
      <c r="E8" s="460"/>
      <c r="F8" s="460"/>
      <c r="G8" s="460"/>
      <c r="H8" s="460"/>
    </row>
    <row r="9" spans="1:9" ht="14.25">
      <c r="A9" s="586" t="s">
        <v>395</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1">
        <f>SUM(D9:F9)</f>
        <v>54975.26</v>
      </c>
      <c r="H9" s="481">
        <f>SUM(B9:F9)</f>
        <v>3052993.78</v>
      </c>
      <c r="I9" s="25"/>
    </row>
    <row r="10" spans="1:8" s="23" customFormat="1" ht="14.25">
      <c r="A10" s="586" t="s">
        <v>396</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86" t="s">
        <v>397</v>
      </c>
      <c r="B11" s="331">
        <f>+'[1]TB03-31-04(Final)'!F383</f>
        <v>1229</v>
      </c>
      <c r="C11" s="331" t="e">
        <f>+'[1]TB03-31-04(Final)'!F382+'[1]TB03-31-04(Final)'!F385</f>
        <v>#REF!</v>
      </c>
      <c r="D11" s="331" t="e">
        <f>+'[1]TB03-31-04(Final)'!F384</f>
        <v>#REF!</v>
      </c>
      <c r="E11" s="331">
        <v>0</v>
      </c>
      <c r="F11" s="331">
        <f>+'[1]TB03-31-04(Final)'!F381</f>
        <v>0</v>
      </c>
      <c r="G11" s="331" t="e">
        <f>SUM(D11:F11)</f>
        <v>#REF!</v>
      </c>
      <c r="H11" s="524" t="e">
        <f>SUM(B11:F11)</f>
        <v>#REF!</v>
      </c>
    </row>
    <row r="12" spans="1:10" s="23" customFormat="1" ht="15.75" thickBot="1">
      <c r="A12" s="455" t="s">
        <v>386</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1"/>
      <c r="B13" s="126"/>
      <c r="C13" s="126"/>
      <c r="D13" s="331"/>
      <c r="E13" s="331"/>
      <c r="F13" s="331"/>
      <c r="G13" s="331"/>
      <c r="H13" s="331"/>
      <c r="I13" s="23">
        <f>+'[1]TB03-31-04(Final)'!G407</f>
        <v>3783761.3799999994</v>
      </c>
      <c r="J13" s="23" t="e">
        <f>+H12-I13</f>
        <v>#REF!</v>
      </c>
    </row>
    <row r="14" spans="1:9" s="23" customFormat="1" ht="15">
      <c r="A14" s="455" t="s">
        <v>7</v>
      </c>
      <c r="B14" s="126"/>
      <c r="C14" s="126"/>
      <c r="D14" s="568"/>
      <c r="E14" s="568"/>
      <c r="F14" s="568"/>
      <c r="G14" s="331"/>
      <c r="H14" s="331"/>
      <c r="I14" s="287"/>
    </row>
    <row r="15" spans="1:8" s="23" customFormat="1" ht="14.25">
      <c r="A15" s="586" t="s">
        <v>398</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86" t="s">
        <v>399</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86" t="s">
        <v>400</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5" t="s">
        <v>386</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1"/>
      <c r="B19" s="126"/>
      <c r="C19" s="126"/>
      <c r="D19" s="331"/>
      <c r="E19" s="331"/>
      <c r="F19" s="331"/>
      <c r="G19" s="331"/>
      <c r="H19" s="331"/>
    </row>
    <row r="20" spans="1:8" s="23" customFormat="1" ht="15">
      <c r="A20" s="455" t="s">
        <v>208</v>
      </c>
      <c r="B20" s="312"/>
      <c r="C20" s="312"/>
      <c r="D20" s="331"/>
      <c r="E20" s="331"/>
      <c r="F20" s="331"/>
      <c r="G20" s="331"/>
      <c r="H20" s="331"/>
    </row>
    <row r="21" spans="1:8" s="23" customFormat="1" ht="14.25">
      <c r="A21" s="586" t="s">
        <v>398</v>
      </c>
      <c r="B21" s="126">
        <v>0</v>
      </c>
      <c r="C21" s="126">
        <v>3812746</v>
      </c>
      <c r="D21" s="331">
        <v>796384</v>
      </c>
      <c r="E21" s="331">
        <v>173012</v>
      </c>
      <c r="F21" s="331">
        <f>4+76330</f>
        <v>76334</v>
      </c>
      <c r="G21" s="331">
        <f>+'[3]Losses Incurred QTR'!$F$21</f>
        <v>149640.16</v>
      </c>
      <c r="H21" s="331">
        <f>SUM(B21:F21)</f>
        <v>4858476</v>
      </c>
    </row>
    <row r="22" spans="1:8" s="23" customFormat="1" ht="14.25">
      <c r="A22" s="586" t="s">
        <v>399</v>
      </c>
      <c r="B22" s="126">
        <v>0</v>
      </c>
      <c r="C22" s="126">
        <v>582573</v>
      </c>
      <c r="D22" s="331">
        <v>136274</v>
      </c>
      <c r="E22" s="331">
        <v>-982</v>
      </c>
      <c r="F22" s="331">
        <f>366+1967</f>
        <v>2333</v>
      </c>
      <c r="G22" s="331">
        <f>+'[3]Losses Incurred QTR'!$F$22</f>
        <v>60667.2</v>
      </c>
      <c r="H22" s="331">
        <f>SUM(B22:F22)-1</f>
        <v>720197</v>
      </c>
    </row>
    <row r="23" spans="1:8" s="23" customFormat="1" ht="14.25">
      <c r="A23" s="586" t="s">
        <v>400</v>
      </c>
      <c r="B23" s="126">
        <v>0</v>
      </c>
      <c r="C23" s="126">
        <v>8804</v>
      </c>
      <c r="D23" s="331">
        <v>0</v>
      </c>
      <c r="E23" s="331">
        <v>0</v>
      </c>
      <c r="F23" s="331">
        <v>0</v>
      </c>
      <c r="G23" s="331">
        <f>+'[3]Losses Incurred QTR'!$F$23</f>
        <v>-8764</v>
      </c>
      <c r="H23" s="331">
        <f>SUM(B23:F23)</f>
        <v>8804</v>
      </c>
    </row>
    <row r="24" spans="1:9" s="23" customFormat="1" ht="15.75" thickBot="1">
      <c r="A24" s="455" t="s">
        <v>386</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1"/>
      <c r="B25" s="126"/>
      <c r="C25" s="126"/>
      <c r="D25" s="331"/>
      <c r="E25" s="331"/>
      <c r="F25" s="331"/>
      <c r="G25" s="331"/>
      <c r="H25" s="331"/>
      <c r="I25" s="23">
        <f>+I18-I24</f>
        <v>2259279.2299999995</v>
      </c>
    </row>
    <row r="26" spans="1:9" s="23" customFormat="1" ht="15">
      <c r="A26" s="455" t="s">
        <v>436</v>
      </c>
      <c r="B26" s="126"/>
      <c r="C26" s="126"/>
      <c r="D26" s="331"/>
      <c r="E26" s="331"/>
      <c r="F26" s="331"/>
      <c r="G26" s="331"/>
      <c r="H26" s="331"/>
      <c r="I26" s="23" t="e">
        <f>+H12+I25</f>
        <v>#REF!</v>
      </c>
    </row>
    <row r="27" spans="1:8" s="23" customFormat="1" ht="14.25">
      <c r="A27" s="586" t="s">
        <v>398</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86" t="s">
        <v>399</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86" t="s">
        <v>400</v>
      </c>
      <c r="B29" s="488">
        <f>B11+(B17-B23)</f>
        <v>14377.069670959347</v>
      </c>
      <c r="C29" s="488" t="e">
        <f>C11+(C17-C23)-1</f>
        <v>#REF!</v>
      </c>
      <c r="D29" s="331" t="e">
        <f t="shared" si="1"/>
        <v>#REF!</v>
      </c>
      <c r="E29" s="331">
        <f t="shared" si="1"/>
        <v>0</v>
      </c>
      <c r="F29" s="331" t="e">
        <f t="shared" si="2"/>
        <v>#REF!</v>
      </c>
      <c r="G29" s="331" t="e">
        <f t="shared" si="2"/>
        <v>#REF!</v>
      </c>
      <c r="H29" s="331" t="e">
        <f>SUM(B29:F29)</f>
        <v>#REF!</v>
      </c>
    </row>
    <row r="30" spans="1:10" ht="15.75" thickBot="1">
      <c r="A30" s="455" t="s">
        <v>386</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8"/>
      <c r="B31" s="551"/>
      <c r="C31" s="551"/>
      <c r="D31" s="551"/>
      <c r="E31" s="551"/>
      <c r="F31" s="551"/>
      <c r="G31" s="551"/>
      <c r="H31" s="551"/>
      <c r="I31" s="114" t="e">
        <f>+I26-I30</f>
        <v>#REF!</v>
      </c>
      <c r="J31" s="109"/>
    </row>
    <row r="32" spans="1:10" ht="15">
      <c r="A32" s="458"/>
      <c r="B32" s="551"/>
      <c r="C32" s="551"/>
      <c r="D32" s="551"/>
      <c r="E32" s="551"/>
      <c r="F32" s="551"/>
      <c r="G32" s="551"/>
      <c r="H32" s="551"/>
      <c r="I32" s="114"/>
      <c r="J32" s="109"/>
    </row>
    <row r="33" spans="1:9" ht="30">
      <c r="A33" s="458"/>
      <c r="B33" s="590" t="s">
        <v>42</v>
      </c>
      <c r="C33" s="590" t="s">
        <v>46</v>
      </c>
      <c r="D33" s="591" t="s">
        <v>21</v>
      </c>
      <c r="E33" s="551"/>
      <c r="F33" s="551"/>
      <c r="G33" s="551"/>
      <c r="I33" s="110">
        <f>+'[1]TB03-31-04(Final)'!G462</f>
        <v>4105799.4900000007</v>
      </c>
    </row>
    <row r="34" spans="1:7" ht="18" customHeight="1">
      <c r="A34" s="587" t="s">
        <v>402</v>
      </c>
      <c r="B34" s="565"/>
      <c r="C34" s="565"/>
      <c r="D34" s="566"/>
      <c r="E34" s="566"/>
      <c r="F34" s="566"/>
      <c r="G34" s="481"/>
    </row>
    <row r="35" spans="1:7" ht="14.25">
      <c r="A35" s="586" t="s">
        <v>398</v>
      </c>
      <c r="B35" s="475">
        <f>+'[1](1)IBNR Cal13'!C27</f>
        <v>929888.0153114785</v>
      </c>
      <c r="C35" s="126">
        <v>0</v>
      </c>
      <c r="D35" s="359">
        <f>SUM(B35:C35)</f>
        <v>929888.0153114785</v>
      </c>
      <c r="E35" s="359"/>
      <c r="F35" s="359"/>
      <c r="G35" s="113"/>
    </row>
    <row r="36" spans="1:7" ht="14.25">
      <c r="A36" s="586" t="s">
        <v>399</v>
      </c>
      <c r="B36" s="126">
        <f>+'[1](1)IBNR Cal13'!C28</f>
        <v>302248.25796003203</v>
      </c>
      <c r="C36" s="126">
        <v>0</v>
      </c>
      <c r="D36" s="122">
        <f>SUM(B36:C36)</f>
        <v>302248.25796003203</v>
      </c>
      <c r="E36" s="304"/>
      <c r="F36" s="304"/>
      <c r="G36" s="122"/>
    </row>
    <row r="37" spans="1:7" ht="14.25">
      <c r="A37" s="586" t="s">
        <v>400</v>
      </c>
      <c r="B37" s="126">
        <f>+'[1](1)IBNR Cal13'!C29</f>
        <v>4148.069670959347</v>
      </c>
      <c r="C37" s="126">
        <v>0</v>
      </c>
      <c r="D37" s="122">
        <f>SUM(B37:C37)</f>
        <v>4148.069670959347</v>
      </c>
      <c r="E37" s="304"/>
      <c r="F37" s="304"/>
      <c r="G37" s="122"/>
    </row>
    <row r="38" spans="1:7" ht="15.75" thickBot="1">
      <c r="A38" s="455" t="s">
        <v>386</v>
      </c>
      <c r="B38" s="345">
        <f>SUM(B35:B37)</f>
        <v>1236284.34294247</v>
      </c>
      <c r="C38" s="129">
        <f>SUM(C35:C37)</f>
        <v>0</v>
      </c>
      <c r="D38" s="345">
        <f>SUM(D35:D37)+1</f>
        <v>1236285.34294247</v>
      </c>
      <c r="E38" s="567"/>
      <c r="F38" s="567"/>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138</v>
      </c>
      <c r="E50" s="321" t="s">
        <v>138</v>
      </c>
      <c r="F50" s="321" t="s">
        <v>138</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2" t="s">
        <v>258</v>
      </c>
      <c r="B1" s="462"/>
      <c r="C1" s="425"/>
      <c r="D1" s="463"/>
      <c r="E1" s="463"/>
      <c r="F1" s="464"/>
      <c r="G1" s="464"/>
      <c r="H1" s="464"/>
    </row>
    <row r="2" spans="1:9" ht="18.75">
      <c r="A2" s="427"/>
      <c r="B2" s="427"/>
      <c r="C2" s="452"/>
      <c r="D2" s="452"/>
      <c r="E2" s="452"/>
      <c r="F2" s="428"/>
      <c r="G2" s="416"/>
      <c r="H2" s="416"/>
      <c r="I2" s="18"/>
    </row>
    <row r="3" spans="1:9" ht="15">
      <c r="A3" s="465" t="s">
        <v>403</v>
      </c>
      <c r="B3" s="465"/>
      <c r="C3" s="430"/>
      <c r="D3" s="466"/>
      <c r="E3" s="466"/>
      <c r="F3" s="416"/>
      <c r="G3" s="416"/>
      <c r="H3" s="416"/>
      <c r="I3" s="18"/>
    </row>
    <row r="4" spans="1:9" ht="15">
      <c r="A4" s="465" t="s">
        <v>404</v>
      </c>
      <c r="B4" s="465"/>
      <c r="C4" s="430"/>
      <c r="D4" s="466"/>
      <c r="E4" s="466"/>
      <c r="F4" s="416"/>
      <c r="G4" s="416"/>
      <c r="H4" s="416"/>
      <c r="I4" s="18"/>
    </row>
    <row r="5" spans="1:9" ht="15">
      <c r="A5" s="465" t="str">
        <f>+'(6)Losses Incurred YTD10'!A4</f>
        <v>YTD PERIOD MARCH 31st, 2004</v>
      </c>
      <c r="B5" s="465"/>
      <c r="C5" s="430"/>
      <c r="D5" s="466"/>
      <c r="E5" s="466"/>
      <c r="F5" s="416"/>
      <c r="G5" s="416"/>
      <c r="H5" s="416"/>
      <c r="I5" s="18"/>
    </row>
    <row r="6" spans="1:9" ht="15.75">
      <c r="A6" s="467"/>
      <c r="B6" s="467"/>
      <c r="C6" s="454"/>
      <c r="D6" s="416"/>
      <c r="E6" s="416"/>
      <c r="F6" s="416"/>
      <c r="G6" s="416"/>
      <c r="H6" s="416"/>
      <c r="I6" s="18"/>
    </row>
    <row r="7" spans="1:9" ht="45">
      <c r="A7" s="468"/>
      <c r="B7" s="375" t="s">
        <v>42</v>
      </c>
      <c r="C7" s="375" t="s">
        <v>46</v>
      </c>
      <c r="D7" s="469" t="s">
        <v>147</v>
      </c>
      <c r="E7" s="469" t="s">
        <v>220</v>
      </c>
      <c r="F7" s="469" t="s">
        <v>98</v>
      </c>
      <c r="G7" s="469" t="s">
        <v>240</v>
      </c>
      <c r="H7" s="470" t="s">
        <v>259</v>
      </c>
      <c r="I7" s="18"/>
    </row>
    <row r="8" spans="1:9" ht="30">
      <c r="A8" s="471" t="s">
        <v>405</v>
      </c>
      <c r="B8" s="374"/>
      <c r="C8" s="374"/>
      <c r="D8" s="382"/>
      <c r="E8" s="382"/>
      <c r="F8" s="382"/>
      <c r="G8" s="382"/>
      <c r="H8" s="472"/>
      <c r="I8" s="18"/>
    </row>
    <row r="9" spans="1:39" ht="14.25">
      <c r="A9" s="371" t="s">
        <v>383</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384</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385</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3" t="s">
        <v>386</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4" t="s">
        <v>9</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383</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384</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385</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3" t="s">
        <v>386</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4" t="s">
        <v>207</v>
      </c>
      <c r="B20" s="312" t="s">
        <v>257</v>
      </c>
      <c r="C20" s="312" t="s">
        <v>257</v>
      </c>
      <c r="D20" s="569"/>
      <c r="E20" s="569"/>
      <c r="F20" s="569"/>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383</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406</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385</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3" t="s">
        <v>386</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4" t="s">
        <v>407</v>
      </c>
      <c r="B26" s="126"/>
      <c r="C26" s="126"/>
      <c r="D26" s="569"/>
      <c r="E26" s="569"/>
      <c r="F26" s="569"/>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383</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384</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385</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3" t="s">
        <v>386</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6" t="s">
        <v>258</v>
      </c>
      <c r="B1" s="1006"/>
      <c r="C1" s="1006"/>
      <c r="D1" s="1006"/>
      <c r="E1" s="1006"/>
      <c r="F1" s="338" t="s">
        <v>34</v>
      </c>
      <c r="G1" s="339" t="s">
        <v>195</v>
      </c>
      <c r="H1" s="149" t="s">
        <v>414</v>
      </c>
      <c r="I1" s="150" t="s">
        <v>34</v>
      </c>
      <c r="J1" s="150"/>
      <c r="K1" s="189" t="s">
        <v>253</v>
      </c>
      <c r="L1" s="231"/>
      <c r="M1" s="231"/>
      <c r="N1" s="231"/>
    </row>
    <row r="2" spans="1:11" ht="20.25">
      <c r="A2" s="1004" t="s">
        <v>255</v>
      </c>
      <c r="B2" s="1004"/>
      <c r="C2" s="1004"/>
      <c r="D2" s="1004"/>
      <c r="E2" s="1004"/>
      <c r="F2" s="151"/>
      <c r="G2" s="79"/>
      <c r="H2" s="75" t="s">
        <v>415</v>
      </c>
      <c r="I2" s="152"/>
      <c r="K2" s="190"/>
    </row>
    <row r="3" spans="1:11" ht="20.25">
      <c r="A3" s="1005">
        <v>37802</v>
      </c>
      <c r="B3" s="1005"/>
      <c r="C3" s="1005"/>
      <c r="D3" s="1005"/>
      <c r="E3" s="1005"/>
      <c r="F3" s="151"/>
      <c r="G3" s="153"/>
      <c r="H3" s="76"/>
      <c r="K3" s="190" t="s">
        <v>268</v>
      </c>
    </row>
    <row r="4" spans="1:11" ht="15.75">
      <c r="A4" s="2"/>
      <c r="B4" s="2" t="s">
        <v>192</v>
      </c>
      <c r="C4" s="2"/>
      <c r="D4" s="80"/>
      <c r="E4" s="80"/>
      <c r="F4" s="154" t="s">
        <v>416</v>
      </c>
      <c r="H4" s="76"/>
      <c r="K4" s="190"/>
    </row>
    <row r="5" spans="1:11" ht="15.75">
      <c r="A5" s="81"/>
      <c r="B5" s="82" t="s">
        <v>411</v>
      </c>
      <c r="C5" s="3" t="s">
        <v>412</v>
      </c>
      <c r="D5" s="83" t="s">
        <v>413</v>
      </c>
      <c r="E5" s="80"/>
      <c r="F5" s="155" t="s">
        <v>417</v>
      </c>
      <c r="G5" s="77" t="s">
        <v>418</v>
      </c>
      <c r="H5" s="75" t="s">
        <v>419</v>
      </c>
      <c r="I5" s="78" t="s">
        <v>420</v>
      </c>
      <c r="J5" s="75"/>
      <c r="K5" s="191" t="s">
        <v>421</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47</v>
      </c>
      <c r="H8" s="76" t="s">
        <v>53</v>
      </c>
      <c r="I8" s="76">
        <f>D9</f>
        <v>737754.17</v>
      </c>
      <c r="J8" s="84"/>
      <c r="K8" s="190"/>
      <c r="L8" s="230"/>
      <c r="M8" s="230"/>
      <c r="N8" s="230"/>
    </row>
    <row r="9" spans="1:14" ht="15.75">
      <c r="A9" s="87" t="s">
        <v>383</v>
      </c>
      <c r="B9" s="199">
        <f>-'[1](1)IBNR Cal13'!C21</f>
        <v>0</v>
      </c>
      <c r="C9" s="199">
        <v>-737754.17</v>
      </c>
      <c r="D9" s="199">
        <f>B9-C9</f>
        <v>737754.17</v>
      </c>
      <c r="E9" s="160"/>
      <c r="F9" s="161"/>
      <c r="G9" s="76" t="s">
        <v>48</v>
      </c>
      <c r="H9" s="76" t="s">
        <v>54</v>
      </c>
      <c r="I9" s="76">
        <f>D10</f>
        <v>272517.95</v>
      </c>
      <c r="J9" s="84"/>
      <c r="K9" s="190"/>
      <c r="L9" s="230"/>
      <c r="M9" s="230"/>
      <c r="N9" s="230"/>
    </row>
    <row r="10" spans="1:14" ht="15.75">
      <c r="A10" s="87" t="s">
        <v>406</v>
      </c>
      <c r="B10" s="199">
        <f>-'[1](1)IBNR Cal13'!C22</f>
        <v>0</v>
      </c>
      <c r="C10" s="199">
        <v>-272517.95</v>
      </c>
      <c r="D10" s="199">
        <f>B10-C10</f>
        <v>272517.95</v>
      </c>
      <c r="E10" s="160"/>
      <c r="F10" s="161"/>
      <c r="G10" s="76" t="s">
        <v>49</v>
      </c>
      <c r="H10" s="76" t="s">
        <v>55</v>
      </c>
      <c r="I10" s="76">
        <f>D11</f>
        <v>4757.34</v>
      </c>
      <c r="J10" s="84"/>
      <c r="K10" s="190"/>
      <c r="L10" s="230"/>
      <c r="M10" s="230"/>
      <c r="N10" s="230"/>
    </row>
    <row r="11" spans="1:14" ht="15.75">
      <c r="A11" s="87" t="s">
        <v>385</v>
      </c>
      <c r="B11" s="293">
        <f>-'[1](1)IBNR Cal13'!C23</f>
        <v>0</v>
      </c>
      <c r="C11" s="199">
        <v>-4757.34</v>
      </c>
      <c r="D11" s="199">
        <f>B11-C11</f>
        <v>4757.34</v>
      </c>
      <c r="E11" s="160"/>
      <c r="F11" s="161"/>
      <c r="G11" s="76" t="s">
        <v>50</v>
      </c>
      <c r="H11" s="76" t="s">
        <v>56</v>
      </c>
      <c r="J11" s="84"/>
      <c r="K11" s="190">
        <f>I8</f>
        <v>737754.17</v>
      </c>
      <c r="L11" s="230"/>
      <c r="M11" s="230"/>
      <c r="N11" s="230"/>
    </row>
    <row r="12" spans="1:14" ht="15.75">
      <c r="A12" s="87"/>
      <c r="B12" s="199"/>
      <c r="C12" s="200"/>
      <c r="D12" s="199"/>
      <c r="E12" s="160"/>
      <c r="F12" s="161"/>
      <c r="G12" s="76" t="s">
        <v>51</v>
      </c>
      <c r="H12" s="76" t="s">
        <v>57</v>
      </c>
      <c r="J12" s="84"/>
      <c r="K12" s="190">
        <f>I9</f>
        <v>272517.95</v>
      </c>
      <c r="L12" s="230"/>
      <c r="M12" s="230"/>
      <c r="N12" s="230"/>
    </row>
    <row r="13" spans="1:14" ht="15.75">
      <c r="A13" s="87" t="s">
        <v>61</v>
      </c>
      <c r="B13" s="201">
        <f>SUM(B9:B12)</f>
        <v>0</v>
      </c>
      <c r="C13" s="201">
        <f>SUM(C9:C12)</f>
        <v>-1015029.4600000001</v>
      </c>
      <c r="D13" s="201">
        <f>SUM(D9:D12)</f>
        <v>1015029.4600000001</v>
      </c>
      <c r="E13" s="160"/>
      <c r="F13" s="161"/>
      <c r="G13" s="76" t="s">
        <v>52</v>
      </c>
      <c r="H13" s="76" t="s">
        <v>58</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36</v>
      </c>
      <c r="H15" s="76" t="s">
        <v>245</v>
      </c>
      <c r="J15" s="84"/>
      <c r="K15" s="190">
        <f>-D16</f>
        <v>664860.7953114785</v>
      </c>
      <c r="L15" s="230"/>
      <c r="M15" s="230"/>
      <c r="N15" s="230"/>
    </row>
    <row r="16" spans="1:14" ht="15.75">
      <c r="A16" s="87" t="s">
        <v>383</v>
      </c>
      <c r="B16" s="199">
        <f>-'[1](1)IBNR Cal13'!C27</f>
        <v>-929888.0153114785</v>
      </c>
      <c r="C16" s="199">
        <v>-265027.22</v>
      </c>
      <c r="D16" s="199">
        <f>B16-C16</f>
        <v>-664860.7953114785</v>
      </c>
      <c r="E16" s="160"/>
      <c r="F16" s="161"/>
      <c r="G16" s="76" t="s">
        <v>37</v>
      </c>
      <c r="H16" s="76" t="s">
        <v>246</v>
      </c>
      <c r="J16" s="84"/>
      <c r="K16" s="190">
        <f>-D17</f>
        <v>216633.17796003202</v>
      </c>
      <c r="L16" s="230"/>
      <c r="M16" s="230"/>
      <c r="N16" s="230"/>
    </row>
    <row r="17" spans="1:14" ht="15.75">
      <c r="A17" s="87" t="s">
        <v>406</v>
      </c>
      <c r="B17" s="199">
        <f>-'[1](1)IBNR Cal13'!C28</f>
        <v>-302248.25796003203</v>
      </c>
      <c r="C17" s="199">
        <v>-85615.08</v>
      </c>
      <c r="D17" s="199">
        <f>B17-C17</f>
        <v>-216633.17796003202</v>
      </c>
      <c r="E17" s="160"/>
      <c r="F17" s="161"/>
      <c r="G17" s="76" t="s">
        <v>38</v>
      </c>
      <c r="H17" s="76" t="s">
        <v>247</v>
      </c>
      <c r="J17" s="84"/>
      <c r="K17" s="190">
        <f>-D18</f>
        <v>2832.0896709593467</v>
      </c>
      <c r="L17" s="230"/>
      <c r="M17" s="230"/>
      <c r="N17" s="230"/>
    </row>
    <row r="18" spans="1:14" ht="15.75">
      <c r="A18" s="87" t="s">
        <v>385</v>
      </c>
      <c r="B18" s="199">
        <f>-'[1](1)IBNR Cal13'!C29</f>
        <v>-4148.069670959347</v>
      </c>
      <c r="C18" s="199">
        <v>-1315.98</v>
      </c>
      <c r="D18" s="199">
        <f>B18-C18</f>
        <v>-2832.0896709593467</v>
      </c>
      <c r="E18" s="160"/>
      <c r="F18" s="161"/>
      <c r="G18" s="76" t="s">
        <v>39</v>
      </c>
      <c r="H18" s="76" t="s">
        <v>248</v>
      </c>
      <c r="I18" s="76">
        <f>K15</f>
        <v>664860.7953114785</v>
      </c>
      <c r="J18" s="84"/>
      <c r="K18" s="190"/>
      <c r="L18" s="230"/>
      <c r="M18" s="230"/>
      <c r="N18" s="230"/>
    </row>
    <row r="19" spans="1:14" ht="15.75">
      <c r="A19" s="89"/>
      <c r="B19" s="199"/>
      <c r="C19" s="200"/>
      <c r="D19" s="199"/>
      <c r="E19" s="160"/>
      <c r="F19" s="161"/>
      <c r="G19" s="76" t="s">
        <v>40</v>
      </c>
      <c r="H19" s="76" t="s">
        <v>249</v>
      </c>
      <c r="I19" s="76">
        <f>K16</f>
        <v>216633.17796003202</v>
      </c>
      <c r="J19" s="84"/>
      <c r="K19" s="190"/>
      <c r="L19" s="230"/>
      <c r="M19" s="230"/>
      <c r="N19" s="230"/>
    </row>
    <row r="20" spans="1:14" ht="15.75">
      <c r="A20" s="87" t="s">
        <v>61</v>
      </c>
      <c r="B20" s="201">
        <f>SUM(B16:B19)</f>
        <v>-1236284.34294247</v>
      </c>
      <c r="C20" s="201">
        <f>SUM(C16:C19)</f>
        <v>-351958.27999999997</v>
      </c>
      <c r="D20" s="201">
        <f>SUM(D16:D19)</f>
        <v>-884326.06294247</v>
      </c>
      <c r="E20" s="160"/>
      <c r="F20" s="161"/>
      <c r="G20" s="76" t="s">
        <v>41</v>
      </c>
      <c r="H20" s="76" t="s">
        <v>250</v>
      </c>
      <c r="I20" s="368">
        <f>K17</f>
        <v>2832.0896709593467</v>
      </c>
      <c r="J20" s="84"/>
      <c r="K20" s="190"/>
      <c r="L20" s="80"/>
      <c r="M20" s="80"/>
      <c r="N20" s="80"/>
    </row>
    <row r="21" spans="1:11" ht="16.5" thickBot="1">
      <c r="A21" s="89"/>
      <c r="B21" s="160"/>
      <c r="C21" s="162"/>
      <c r="D21" s="160"/>
      <c r="E21" s="87"/>
      <c r="F21" s="66" t="s">
        <v>422</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256</v>
      </c>
      <c r="B23" s="270">
        <f>B13+B20</f>
        <v>-1236284.34294247</v>
      </c>
      <c r="C23" s="270">
        <f>C13+C20</f>
        <v>-1366987.74</v>
      </c>
      <c r="D23" s="270">
        <f>D13+D20</f>
        <v>130703.39705753012</v>
      </c>
      <c r="E23" s="165"/>
      <c r="F23" s="66" t="s">
        <v>423</v>
      </c>
      <c r="G23" s="67" t="s">
        <v>251</v>
      </c>
      <c r="H23" s="10"/>
      <c r="I23" s="169"/>
      <c r="J23" s="169"/>
      <c r="K23" s="195"/>
    </row>
    <row r="24" spans="1:11" ht="16.5" thickTop="1">
      <c r="A24" s="87"/>
      <c r="B24" s="87" t="s">
        <v>238</v>
      </c>
      <c r="C24" s="369" t="s">
        <v>105</v>
      </c>
      <c r="D24" s="87"/>
      <c r="E24" s="90"/>
      <c r="F24" s="66" t="s">
        <v>254</v>
      </c>
      <c r="G24" s="67" t="s">
        <v>252</v>
      </c>
      <c r="H24" s="67"/>
      <c r="I24" s="169"/>
      <c r="J24" s="169"/>
      <c r="K24" s="195" t="s">
        <v>268</v>
      </c>
    </row>
    <row r="25" spans="1:11" ht="15.75">
      <c r="A25" s="2"/>
      <c r="B25" s="370" t="s">
        <v>95</v>
      </c>
      <c r="C25" s="370" t="s">
        <v>96</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417</v>
      </c>
      <c r="J29" s="196"/>
      <c r="K29" s="195"/>
    </row>
    <row r="30" spans="1:11" ht="15.75">
      <c r="A30" s="2"/>
      <c r="B30" s="90"/>
      <c r="C30" s="90"/>
      <c r="D30" s="90"/>
      <c r="E30" s="90"/>
      <c r="F30" s="66" t="s">
        <v>424</v>
      </c>
      <c r="G30" s="67" t="s">
        <v>64</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62</v>
      </c>
      <c r="G33" s="67" t="s">
        <v>459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425</v>
      </c>
      <c r="G36" s="67" t="s">
        <v>63</v>
      </c>
      <c r="H36" s="67"/>
      <c r="I36" s="196"/>
      <c r="J36" s="196"/>
      <c r="K36" s="195"/>
    </row>
    <row r="37" spans="1:11" ht="15.75">
      <c r="A37" s="2"/>
      <c r="B37" s="2"/>
      <c r="C37" s="2"/>
      <c r="D37" s="2"/>
      <c r="E37" s="2"/>
      <c r="F37" s="161"/>
      <c r="H37" s="67"/>
      <c r="I37" s="196"/>
      <c r="J37" s="196" t="s">
        <v>428</v>
      </c>
      <c r="K37" s="355"/>
    </row>
    <row r="38" spans="1:11" ht="16.5" thickBot="1">
      <c r="A38" s="2"/>
      <c r="B38" s="2"/>
      <c r="C38" s="2"/>
      <c r="D38" s="2"/>
      <c r="E38" s="2"/>
      <c r="F38" s="73"/>
      <c r="G38" s="72"/>
      <c r="H38" s="72"/>
      <c r="I38" s="196"/>
      <c r="J38" s="196"/>
      <c r="K38" s="195"/>
    </row>
    <row r="39" spans="1:14" ht="16.5" thickBot="1">
      <c r="A39" s="2"/>
      <c r="B39" s="2"/>
      <c r="C39" s="2"/>
      <c r="D39" s="2"/>
      <c r="E39" s="2"/>
      <c r="F39" s="294" t="s">
        <v>427</v>
      </c>
      <c r="G39" s="72" t="s">
        <v>237</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47" t="s">
        <v>258</v>
      </c>
      <c r="B1" s="947"/>
      <c r="C1" s="947"/>
      <c r="D1" s="947"/>
      <c r="E1" s="947"/>
      <c r="F1" s="947"/>
      <c r="G1" s="947"/>
      <c r="H1" s="1008" t="s">
        <v>414</v>
      </c>
      <c r="I1" s="1009"/>
      <c r="J1" s="1009"/>
      <c r="K1" s="1009"/>
      <c r="L1" s="1009"/>
      <c r="M1" s="1010"/>
      <c r="O1" s="224"/>
    </row>
    <row r="2" spans="1:15" s="18" customFormat="1" ht="18.75">
      <c r="A2" s="1013"/>
      <c r="B2" s="1013"/>
      <c r="C2" s="1013"/>
      <c r="D2" s="1013"/>
      <c r="E2" s="1013"/>
      <c r="F2" s="1013"/>
      <c r="G2" s="1013"/>
      <c r="H2" s="1011" t="s">
        <v>415</v>
      </c>
      <c r="I2" s="1007"/>
      <c r="J2" s="1007"/>
      <c r="K2" s="1007"/>
      <c r="L2" s="1007"/>
      <c r="M2" s="1012"/>
      <c r="O2" s="225"/>
    </row>
    <row r="3" spans="1:13" ht="12.75">
      <c r="A3" s="51"/>
      <c r="B3" s="52"/>
      <c r="C3" s="52"/>
      <c r="D3" s="205"/>
      <c r="E3" s="52"/>
      <c r="F3" s="52"/>
      <c r="G3" s="52"/>
      <c r="H3" s="66" t="s">
        <v>15</v>
      </c>
      <c r="I3" s="10" t="s">
        <v>462</v>
      </c>
      <c r="J3" s="10"/>
      <c r="K3" s="265"/>
      <c r="L3" s="179" t="s">
        <v>460</v>
      </c>
      <c r="M3" s="178" t="s">
        <v>464</v>
      </c>
    </row>
    <row r="4" spans="1:15" s="54" customFormat="1" ht="15.75">
      <c r="A4" s="1007" t="s">
        <v>193</v>
      </c>
      <c r="B4" s="1007"/>
      <c r="C4" s="1007"/>
      <c r="D4" s="1007"/>
      <c r="E4" s="1007"/>
      <c r="F4" s="1007"/>
      <c r="G4" s="1007"/>
      <c r="H4" s="66" t="s">
        <v>416</v>
      </c>
      <c r="I4" s="67"/>
      <c r="J4" s="67"/>
      <c r="K4" s="266"/>
      <c r="L4" s="179"/>
      <c r="M4" s="180"/>
      <c r="O4" s="226"/>
    </row>
    <row r="5" spans="1:16" s="54" customFormat="1" ht="15.75">
      <c r="A5" s="1007" t="s">
        <v>12</v>
      </c>
      <c r="B5" s="1007"/>
      <c r="C5" s="1007"/>
      <c r="D5" s="1007"/>
      <c r="E5" s="1007"/>
      <c r="F5" s="1007"/>
      <c r="G5" s="1007"/>
      <c r="H5" s="66" t="s">
        <v>417</v>
      </c>
      <c r="I5" s="67" t="s">
        <v>418</v>
      </c>
      <c r="J5" s="67" t="s">
        <v>419</v>
      </c>
      <c r="K5" s="266" t="s">
        <v>420</v>
      </c>
      <c r="L5" s="177"/>
      <c r="M5" s="180" t="s">
        <v>421</v>
      </c>
      <c r="O5" s="226"/>
      <c r="P5" s="226"/>
    </row>
    <row r="6" spans="1:16" ht="12.75">
      <c r="A6" s="55"/>
      <c r="B6" s="55"/>
      <c r="C6" s="55"/>
      <c r="D6" s="206"/>
      <c r="E6" s="55"/>
      <c r="F6" s="55"/>
      <c r="G6" s="55"/>
      <c r="H6" s="68"/>
      <c r="I6" s="69"/>
      <c r="J6" s="69"/>
      <c r="K6" s="267"/>
      <c r="L6" s="181"/>
      <c r="M6" s="182"/>
      <c r="O6" s="69"/>
      <c r="P6" s="69"/>
    </row>
    <row r="7" spans="1:16" ht="38.25">
      <c r="A7" s="56"/>
      <c r="B7" s="57" t="s">
        <v>447</v>
      </c>
      <c r="C7" s="57" t="s">
        <v>448</v>
      </c>
      <c r="D7" s="207" t="s">
        <v>449</v>
      </c>
      <c r="E7" s="57"/>
      <c r="F7" s="57" t="s">
        <v>205</v>
      </c>
      <c r="G7" s="57" t="s">
        <v>450</v>
      </c>
      <c r="H7" s="70">
        <v>37621</v>
      </c>
      <c r="I7" s="10" t="s">
        <v>455</v>
      </c>
      <c r="J7" s="10" t="s">
        <v>226</v>
      </c>
      <c r="K7" s="265">
        <f>+F23</f>
        <v>2206.52</v>
      </c>
      <c r="L7" s="181"/>
      <c r="M7" s="178"/>
      <c r="P7" s="223"/>
    </row>
    <row r="8" spans="1:13" ht="12.75" hidden="1">
      <c r="A8" s="10"/>
      <c r="B8" s="10"/>
      <c r="C8" s="10"/>
      <c r="D8" s="208"/>
      <c r="E8" s="58"/>
      <c r="F8" s="58"/>
      <c r="G8" s="58"/>
      <c r="H8" s="65"/>
      <c r="I8" s="10" t="s">
        <v>234</v>
      </c>
      <c r="J8" s="10" t="s">
        <v>226</v>
      </c>
      <c r="K8" s="265">
        <f>+F29</f>
        <v>55.86</v>
      </c>
      <c r="L8" s="181"/>
      <c r="M8" s="178"/>
    </row>
    <row r="9" spans="1:16" ht="12.75" hidden="1">
      <c r="A9" s="10"/>
      <c r="B9" s="64"/>
      <c r="C9" s="64"/>
      <c r="D9" s="208"/>
      <c r="E9" s="58"/>
      <c r="F9" s="58"/>
      <c r="G9" s="58"/>
      <c r="H9" s="65"/>
      <c r="I9" s="10" t="s">
        <v>228</v>
      </c>
      <c r="J9" s="10" t="s">
        <v>226</v>
      </c>
      <c r="K9" s="265">
        <f>+F35</f>
        <v>51079.75</v>
      </c>
      <c r="L9" s="181"/>
      <c r="M9" s="178"/>
      <c r="P9" s="223"/>
    </row>
    <row r="10" spans="1:13" ht="12.75" hidden="1">
      <c r="A10" s="59"/>
      <c r="B10" s="63"/>
      <c r="C10" s="63"/>
      <c r="D10" s="219"/>
      <c r="E10" s="60"/>
      <c r="F10" s="60"/>
      <c r="G10" s="60"/>
      <c r="H10" s="65"/>
      <c r="I10" s="10" t="s">
        <v>3</v>
      </c>
      <c r="J10" s="10" t="s">
        <v>226</v>
      </c>
      <c r="K10" s="265">
        <f>+F41</f>
        <v>60568.8</v>
      </c>
      <c r="L10" s="181"/>
      <c r="M10" s="178"/>
    </row>
    <row r="11" spans="1:16" ht="12.75" hidden="1">
      <c r="A11" s="10"/>
      <c r="B11" s="212"/>
      <c r="C11" s="271"/>
      <c r="D11" s="208"/>
      <c r="E11" s="204"/>
      <c r="F11" s="282"/>
      <c r="G11" s="212"/>
      <c r="H11" s="65"/>
      <c r="I11" s="10" t="s">
        <v>235</v>
      </c>
      <c r="J11" s="10" t="s">
        <v>227</v>
      </c>
      <c r="K11" s="265">
        <f>+F30</f>
        <v>0</v>
      </c>
      <c r="L11" s="181"/>
      <c r="M11" s="178"/>
      <c r="P11" s="223"/>
    </row>
    <row r="12" spans="1:16" ht="12.75" hidden="1">
      <c r="A12" s="10"/>
      <c r="B12" s="212"/>
      <c r="C12" s="271"/>
      <c r="D12" s="208"/>
      <c r="E12" s="204"/>
      <c r="F12" s="284"/>
      <c r="G12" s="212"/>
      <c r="H12" s="65"/>
      <c r="I12" s="10" t="s">
        <v>32</v>
      </c>
      <c r="J12" s="10" t="s">
        <v>227</v>
      </c>
      <c r="K12" s="265">
        <f>+F36</f>
        <v>2606.21</v>
      </c>
      <c r="L12" s="181"/>
      <c r="M12" s="178"/>
      <c r="P12" s="223"/>
    </row>
    <row r="13" spans="1:13" ht="12.75" hidden="1">
      <c r="A13" s="10"/>
      <c r="B13" s="212"/>
      <c r="C13" s="272"/>
      <c r="D13" s="208"/>
      <c r="E13" s="204"/>
      <c r="F13" s="284"/>
      <c r="G13" s="212"/>
      <c r="H13" s="65"/>
      <c r="I13" s="10" t="s">
        <v>4</v>
      </c>
      <c r="J13" s="10" t="s">
        <v>227</v>
      </c>
      <c r="K13" s="265">
        <f>+F42</f>
        <v>23392.86</v>
      </c>
      <c r="L13" s="181"/>
      <c r="M13" s="178"/>
    </row>
    <row r="14" spans="2:16" ht="12.75" hidden="1">
      <c r="B14" s="174"/>
      <c r="C14" s="273"/>
      <c r="D14" s="208"/>
      <c r="E14" s="214"/>
      <c r="F14" s="283"/>
      <c r="G14" s="214"/>
      <c r="H14" s="65"/>
      <c r="I14" s="10" t="s">
        <v>229</v>
      </c>
      <c r="J14" s="10" t="s">
        <v>201</v>
      </c>
      <c r="K14" s="265">
        <f>+F37</f>
        <v>0</v>
      </c>
      <c r="L14" s="234"/>
      <c r="M14" s="235"/>
      <c r="P14" s="223"/>
    </row>
    <row r="15" spans="2:13" ht="12.75">
      <c r="B15" s="175"/>
      <c r="C15" s="274"/>
      <c r="D15" s="219"/>
      <c r="E15" s="204"/>
      <c r="F15" s="277"/>
      <c r="G15" s="204"/>
      <c r="H15" s="65"/>
      <c r="I15" s="10"/>
      <c r="J15" s="10"/>
      <c r="K15" s="265"/>
      <c r="L15" s="181"/>
      <c r="M15" s="178"/>
    </row>
    <row r="16" spans="1:13" ht="12.75">
      <c r="A16" s="59" t="s">
        <v>244</v>
      </c>
      <c r="B16" s="175"/>
      <c r="C16" s="175"/>
      <c r="D16" s="219"/>
      <c r="E16" s="204"/>
      <c r="F16" s="277"/>
      <c r="G16" s="204"/>
      <c r="H16" s="65"/>
      <c r="I16" s="10"/>
      <c r="J16" s="10"/>
      <c r="K16" s="265"/>
      <c r="L16" s="181"/>
      <c r="M16" s="178"/>
    </row>
    <row r="17" spans="1:13" ht="12.75">
      <c r="A17" s="10" t="s">
        <v>451</v>
      </c>
      <c r="B17" s="212">
        <f>+'[1]TB3-31-04 (Pre)'!G469</f>
        <v>0</v>
      </c>
      <c r="C17" s="212">
        <f>SUM('[1]TB03-31-04(Final)'!F361:F364)</f>
        <v>0</v>
      </c>
      <c r="D17" s="769" t="e">
        <f>C17/C20</f>
        <v>#DIV/0!</v>
      </c>
      <c r="E17" s="204"/>
      <c r="F17" s="275" t="e">
        <f>SUM('[1]TB03-31-04(Final)'!F523:F524)</f>
        <v>#REF!</v>
      </c>
      <c r="G17" s="212" t="e">
        <f>+B17+F17</f>
        <v>#REF!</v>
      </c>
      <c r="H17" s="237" t="s">
        <v>13</v>
      </c>
      <c r="I17" s="10" t="s">
        <v>457</v>
      </c>
      <c r="J17" s="10" t="s">
        <v>458</v>
      </c>
      <c r="K17" s="265"/>
      <c r="L17" s="177"/>
      <c r="M17" s="178">
        <f>SUM(K7:K17)+0.01</f>
        <v>139910.01</v>
      </c>
    </row>
    <row r="18" spans="1:16" ht="12.75">
      <c r="A18" s="10" t="s">
        <v>452</v>
      </c>
      <c r="B18" s="212" t="e">
        <f>+'[1]TB03-31-04(Final)'!F469+'[1]TB03-31-04(Final)'!F470</f>
        <v>#REF!</v>
      </c>
      <c r="C18" s="212">
        <f>SUM('[1]TB03-31-04(Final)'!F370:F372)</f>
        <v>0</v>
      </c>
      <c r="D18" s="769" t="e">
        <f>C18/C20</f>
        <v>#DIV/0!</v>
      </c>
      <c r="E18" s="204"/>
      <c r="F18" s="275" t="e">
        <f>SUM('[1]TB03-31-04(Final)'!F530:F531)</f>
        <v>#REF!</v>
      </c>
      <c r="G18" s="212" t="e">
        <f>+B18+F18</f>
        <v>#REF!</v>
      </c>
      <c r="H18" s="237" t="s">
        <v>14</v>
      </c>
      <c r="I18" s="10"/>
      <c r="J18" s="10"/>
      <c r="K18" s="265"/>
      <c r="L18" s="177"/>
      <c r="M18" s="178"/>
      <c r="P18" s="223"/>
    </row>
    <row r="19" spans="1:13" ht="12.75">
      <c r="A19" s="10" t="s">
        <v>397</v>
      </c>
      <c r="B19" s="212">
        <v>0</v>
      </c>
      <c r="C19" s="213">
        <v>0</v>
      </c>
      <c r="D19" s="769" t="e">
        <f>C19/C20</f>
        <v>#DIV/0!</v>
      </c>
      <c r="E19" s="204"/>
      <c r="F19" s="275">
        <v>0</v>
      </c>
      <c r="G19" s="212">
        <v>0</v>
      </c>
      <c r="H19" s="65"/>
      <c r="I19" s="10"/>
      <c r="J19" s="10"/>
      <c r="K19" s="265"/>
      <c r="L19" s="177"/>
      <c r="M19" s="178"/>
    </row>
    <row r="20" spans="1:17" ht="13.5" thickBot="1">
      <c r="A20" s="8" t="s">
        <v>410</v>
      </c>
      <c r="B20" s="174" t="e">
        <f>SUM(B17:B19)</f>
        <v>#REF!</v>
      </c>
      <c r="C20" s="174">
        <f>SUM(C17:C19)</f>
        <v>0</v>
      </c>
      <c r="D20" s="767">
        <f>C20/$C$49</f>
        <v>0</v>
      </c>
      <c r="E20" s="214"/>
      <c r="F20" s="276" t="e">
        <f>SUM(F17:F19)</f>
        <v>#REF!</v>
      </c>
      <c r="G20" s="214" t="e">
        <f>SUM(G17:G19)</f>
        <v>#REF!</v>
      </c>
      <c r="H20" s="66" t="s">
        <v>422</v>
      </c>
      <c r="I20" s="10"/>
      <c r="J20" s="10"/>
      <c r="K20" s="280">
        <f>SUM(K7:K14)+0.01</f>
        <v>139910.01</v>
      </c>
      <c r="L20" s="183"/>
      <c r="M20" s="184">
        <f>SUM(M7:M19)</f>
        <v>139910.01</v>
      </c>
      <c r="N20" s="236"/>
      <c r="O20" s="233"/>
      <c r="P20" s="236"/>
      <c r="Q20" s="236">
        <f>SUM(P7:P18)</f>
        <v>0</v>
      </c>
    </row>
    <row r="21" spans="2:13" ht="13.5" thickTop="1">
      <c r="B21" s="175"/>
      <c r="C21" s="175"/>
      <c r="D21" s="770"/>
      <c r="E21" s="204"/>
      <c r="F21" s="277"/>
      <c r="G21" s="204"/>
      <c r="H21" s="65"/>
      <c r="I21" s="10"/>
      <c r="J21" s="10"/>
      <c r="K21" s="265"/>
      <c r="L21" s="177"/>
      <c r="M21" s="279">
        <f>+F53</f>
        <v>495387.39</v>
      </c>
    </row>
    <row r="22" spans="1:13" ht="12.75">
      <c r="A22" s="59">
        <v>2000</v>
      </c>
      <c r="B22" s="175"/>
      <c r="C22" s="175"/>
      <c r="D22" s="770"/>
      <c r="E22" s="204"/>
      <c r="F22" s="277"/>
      <c r="G22" s="204"/>
      <c r="H22" s="65"/>
      <c r="I22" s="10"/>
      <c r="J22" s="10"/>
      <c r="K22" s="265"/>
      <c r="L22" s="177"/>
      <c r="M22" s="178"/>
    </row>
    <row r="23" spans="1:15" ht="12.75">
      <c r="A23" s="10" t="s">
        <v>451</v>
      </c>
      <c r="B23" s="175">
        <f>+'[1]TB3-31-04 (Pre)'!F470</f>
        <v>980.5</v>
      </c>
      <c r="C23" s="212">
        <f>+'[1]TB3-31-04 (Pre)'!F362</f>
        <v>59250</v>
      </c>
      <c r="D23" s="767">
        <f>C23/C26</f>
        <v>1</v>
      </c>
      <c r="E23" s="204"/>
      <c r="F23" s="275">
        <f>+'[1]TB3-31-04 (Pre)'!F517</f>
        <v>2206.52</v>
      </c>
      <c r="G23" s="212">
        <f>B23+F23</f>
        <v>3187.02</v>
      </c>
      <c r="H23" s="66" t="s">
        <v>423</v>
      </c>
      <c r="I23" s="67" t="s">
        <v>202</v>
      </c>
      <c r="J23" s="67"/>
      <c r="K23" s="265"/>
      <c r="L23" s="177"/>
      <c r="M23" s="178" t="s">
        <v>268</v>
      </c>
      <c r="O23" s="53"/>
    </row>
    <row r="24" spans="1:16" ht="12.75">
      <c r="A24" s="10" t="s">
        <v>452</v>
      </c>
      <c r="B24" s="212">
        <f>+'[1]TB03-31-04(Final)'!F471</f>
        <v>0</v>
      </c>
      <c r="C24" s="212">
        <f>+'[1]TB3-31-04 (Pre)'!F370</f>
        <v>0</v>
      </c>
      <c r="D24" s="767">
        <f>C24/C26</f>
        <v>0</v>
      </c>
      <c r="E24" s="204"/>
      <c r="F24" s="275">
        <f>+'[1]TB03-31-04(Final)'!F532</f>
        <v>0</v>
      </c>
      <c r="G24" s="212">
        <f>B24+F24</f>
        <v>0</v>
      </c>
      <c r="H24" s="66" t="s">
        <v>461</v>
      </c>
      <c r="I24" s="67" t="s">
        <v>463</v>
      </c>
      <c r="J24" s="67"/>
      <c r="K24" s="265"/>
      <c r="L24" s="177"/>
      <c r="M24" s="178"/>
      <c r="O24" s="228"/>
      <c r="P24" s="229"/>
    </row>
    <row r="25" spans="1:16" ht="12.75">
      <c r="A25" s="10" t="s">
        <v>397</v>
      </c>
      <c r="B25" s="212">
        <f>+'[1]TB03-31-04(Final)'!D486</f>
        <v>-374.81</v>
      </c>
      <c r="C25" s="212">
        <v>0</v>
      </c>
      <c r="D25" s="767">
        <f>C25/C26</f>
        <v>0</v>
      </c>
      <c r="E25" s="204"/>
      <c r="F25" s="275">
        <v>0</v>
      </c>
      <c r="G25" s="212">
        <f>F25+B25</f>
        <v>-374.81</v>
      </c>
      <c r="H25" s="65"/>
      <c r="I25" s="71"/>
      <c r="J25" s="10"/>
      <c r="K25" s="265"/>
      <c r="L25" s="177"/>
      <c r="M25" s="178"/>
      <c r="O25" s="228"/>
      <c r="P25" s="229"/>
    </row>
    <row r="26" spans="1:15" ht="13.5" thickBot="1">
      <c r="A26" s="8" t="s">
        <v>410</v>
      </c>
      <c r="B26" s="174">
        <f>SUM(B23:B25)</f>
        <v>605.69</v>
      </c>
      <c r="C26" s="174">
        <f>SUM(C23:C25)</f>
        <v>59250</v>
      </c>
      <c r="D26" s="767">
        <f>C26/$C$49</f>
        <v>0.015765811858006993</v>
      </c>
      <c r="E26" s="214"/>
      <c r="F26" s="276">
        <f>SUM(F23:F25)</f>
        <v>2206.52</v>
      </c>
      <c r="G26" s="214">
        <f>SUM(G23:G25)</f>
        <v>2812.21</v>
      </c>
      <c r="H26" s="66" t="s">
        <v>424</v>
      </c>
      <c r="I26" s="72"/>
      <c r="J26" s="72"/>
      <c r="K26" s="265"/>
      <c r="L26" s="177"/>
      <c r="M26" s="178"/>
      <c r="O26" s="53"/>
    </row>
    <row r="27" spans="2:13" ht="12.75">
      <c r="B27" s="175"/>
      <c r="C27" s="175"/>
      <c r="D27" s="770"/>
      <c r="E27" s="204"/>
      <c r="F27" s="277"/>
      <c r="G27" s="204"/>
      <c r="H27" s="66"/>
      <c r="I27" s="67" t="s">
        <v>197</v>
      </c>
      <c r="J27" s="67"/>
      <c r="K27" s="265"/>
      <c r="L27" s="177"/>
      <c r="M27" s="178"/>
    </row>
    <row r="28" spans="1:13" ht="12.75">
      <c r="A28" s="59">
        <v>2001</v>
      </c>
      <c r="B28" s="175"/>
      <c r="C28" s="175"/>
      <c r="D28" s="770"/>
      <c r="E28" s="204"/>
      <c r="F28" s="277"/>
      <c r="G28" s="204"/>
      <c r="H28" s="66"/>
      <c r="I28" s="67"/>
      <c r="J28" s="67"/>
      <c r="K28" s="265"/>
      <c r="L28" s="177"/>
      <c r="M28" s="178"/>
    </row>
    <row r="29" spans="1:13" ht="13.5" thickBot="1">
      <c r="A29" s="10" t="s">
        <v>451</v>
      </c>
      <c r="B29" s="175">
        <f>+'[1]TB3-31-04 (Pre)'!F471</f>
        <v>728.14</v>
      </c>
      <c r="C29" s="212">
        <f>+'[1]TB3-31-04 (Pre)'!F363</f>
        <v>1500</v>
      </c>
      <c r="D29" s="767">
        <f>C29/C32</f>
        <v>1</v>
      </c>
      <c r="E29" s="204"/>
      <c r="F29" s="275">
        <f>+'[1]TB3-31-04 (Pre)'!F518</f>
        <v>55.86</v>
      </c>
      <c r="G29" s="212">
        <f>B29+F29</f>
        <v>784</v>
      </c>
      <c r="H29" s="66" t="s">
        <v>62</v>
      </c>
      <c r="I29" s="72"/>
      <c r="J29" s="72"/>
      <c r="K29" s="266" t="s">
        <v>417</v>
      </c>
      <c r="L29" s="179"/>
      <c r="M29" s="178"/>
    </row>
    <row r="30" spans="1:13" ht="12.75">
      <c r="A30" s="10" t="s">
        <v>452</v>
      </c>
      <c r="B30" s="212">
        <f>+'[1]TB3-31-04 (Pre)'!F478</f>
        <v>254</v>
      </c>
      <c r="C30" s="212">
        <f>+'[1]TB3-31-04 (Pre)'!F371</f>
        <v>0</v>
      </c>
      <c r="D30" s="767">
        <f>C30/C32</f>
        <v>0</v>
      </c>
      <c r="E30" s="204"/>
      <c r="F30" s="275">
        <f>+'[1]TB3-31-04 (Pre)'!F525</f>
        <v>0</v>
      </c>
      <c r="G30" s="212">
        <f>B30+F30</f>
        <v>254</v>
      </c>
      <c r="H30" s="66"/>
      <c r="I30" s="67" t="s">
        <v>459</v>
      </c>
      <c r="J30" s="67"/>
      <c r="K30" s="266"/>
      <c r="L30" s="179"/>
      <c r="M30" s="178"/>
    </row>
    <row r="31" spans="1:13" ht="12.75">
      <c r="A31" s="10" t="s">
        <v>397</v>
      </c>
      <c r="B31" s="213">
        <v>0</v>
      </c>
      <c r="C31" s="213">
        <v>0</v>
      </c>
      <c r="D31" s="767">
        <f>C31/C32</f>
        <v>0</v>
      </c>
      <c r="E31" s="204"/>
      <c r="F31" s="275">
        <f>+'[1]TB03-31-04(Final)'!F548</f>
        <v>1047.62</v>
      </c>
      <c r="G31" s="212">
        <f>F31+B31</f>
        <v>1047.62</v>
      </c>
      <c r="H31" s="66"/>
      <c r="I31" s="67"/>
      <c r="J31" s="67"/>
      <c r="K31" s="266"/>
      <c r="L31" s="179"/>
      <c r="M31" s="178"/>
    </row>
    <row r="32" spans="1:13" ht="13.5" thickBot="1">
      <c r="A32" s="8" t="s">
        <v>410</v>
      </c>
      <c r="B32" s="174">
        <f>SUM(B29:B31)</f>
        <v>982.14</v>
      </c>
      <c r="C32" s="174">
        <f>SUM(C29:C31)</f>
        <v>1500</v>
      </c>
      <c r="D32" s="767">
        <f>C32/$C$49</f>
        <v>0.00039913447741789855</v>
      </c>
      <c r="E32" s="214"/>
      <c r="F32" s="276">
        <f>SUM(F29:F31)</f>
        <v>1103.4799999999998</v>
      </c>
      <c r="G32" s="214">
        <f>SUM(G29:G31)</f>
        <v>2085.62</v>
      </c>
      <c r="H32" s="66" t="s">
        <v>425</v>
      </c>
      <c r="I32" s="72"/>
      <c r="J32" s="72"/>
      <c r="K32" s="266"/>
      <c r="L32" s="179"/>
      <c r="M32" s="178"/>
    </row>
    <row r="33" spans="2:13" ht="12.75">
      <c r="B33" s="175"/>
      <c r="C33" s="175"/>
      <c r="D33" s="770"/>
      <c r="E33" s="204"/>
      <c r="F33" s="277"/>
      <c r="G33" s="204"/>
      <c r="H33" s="66"/>
      <c r="I33" s="67" t="s">
        <v>426</v>
      </c>
      <c r="J33" s="67"/>
      <c r="K33" s="266"/>
      <c r="L33" s="179"/>
      <c r="M33" s="178"/>
    </row>
    <row r="34" spans="1:13" ht="12.75">
      <c r="A34" s="59">
        <v>2002</v>
      </c>
      <c r="B34" s="175"/>
      <c r="C34" s="175"/>
      <c r="D34" s="770"/>
      <c r="E34" s="204"/>
      <c r="F34" s="277"/>
      <c r="G34" s="204"/>
      <c r="H34" s="66"/>
      <c r="I34" s="67"/>
      <c r="J34" s="67"/>
      <c r="K34" s="266"/>
      <c r="L34" s="179" t="s">
        <v>428</v>
      </c>
      <c r="M34" s="178"/>
    </row>
    <row r="35" spans="1:13" ht="13.5" thickBot="1">
      <c r="A35" s="10" t="s">
        <v>451</v>
      </c>
      <c r="B35" s="175">
        <f>+'[1]TB3-31-04 (Pre)'!F472</f>
        <v>40871.79</v>
      </c>
      <c r="C35" s="212">
        <f>+'[1]TB3-31-04 (Pre)'!F364</f>
        <v>1371608.06</v>
      </c>
      <c r="D35" s="767">
        <f>C35/C38</f>
        <v>0.9514546164884548</v>
      </c>
      <c r="E35" s="215"/>
      <c r="F35" s="275">
        <f>+'[1]TB3-31-04 (Pre)'!F519</f>
        <v>51079.75</v>
      </c>
      <c r="G35" s="212">
        <f>B35+F35</f>
        <v>91951.54000000001</v>
      </c>
      <c r="H35" s="66" t="s">
        <v>427</v>
      </c>
      <c r="I35" s="72"/>
      <c r="J35" s="72"/>
      <c r="K35" s="266"/>
      <c r="L35" s="179"/>
      <c r="M35" s="178"/>
    </row>
    <row r="36" spans="1:13" ht="13.5" thickBot="1">
      <c r="A36" s="10" t="s">
        <v>452</v>
      </c>
      <c r="B36" s="212">
        <f>+'[1]TB3-31-04 (Pre)'!F479</f>
        <v>36651.02</v>
      </c>
      <c r="C36" s="212">
        <f>+'[1]TB3-31-04 (Pre)'!F372</f>
        <v>69982.57</v>
      </c>
      <c r="D36" s="767">
        <f>C36/C38</f>
        <v>0.04854538351154516</v>
      </c>
      <c r="E36" s="215"/>
      <c r="F36" s="275">
        <f>+'[1]TB3-31-04 (Pre)'!F526</f>
        <v>2606.21</v>
      </c>
      <c r="G36" s="212">
        <f>B36+F36</f>
        <v>39257.229999999996</v>
      </c>
      <c r="H36" s="73"/>
      <c r="I36" s="72" t="s">
        <v>237</v>
      </c>
      <c r="J36" s="72"/>
      <c r="K36" s="268"/>
      <c r="L36" s="185"/>
      <c r="M36" s="186"/>
    </row>
    <row r="37" spans="1:10" ht="12.75">
      <c r="A37" s="10" t="s">
        <v>397</v>
      </c>
      <c r="B37" s="213">
        <f>+'[1]TB03-31-04(Final)'!F479</f>
        <v>0</v>
      </c>
      <c r="C37" s="213">
        <f>+'[1]TB3-31-04 (Pre)'!F379</f>
        <v>0</v>
      </c>
      <c r="D37" s="767">
        <f>C37/C38</f>
        <v>0</v>
      </c>
      <c r="E37" s="215"/>
      <c r="F37" s="275">
        <f>+'[1]TB03-31-04(Final)'!F540</f>
        <v>0</v>
      </c>
      <c r="G37" s="212">
        <f>F37+B37</f>
        <v>0</v>
      </c>
      <c r="H37" s="8"/>
      <c r="I37" s="8"/>
      <c r="J37" s="8"/>
    </row>
    <row r="38" spans="1:10" ht="12.75">
      <c r="A38" s="8" t="s">
        <v>410</v>
      </c>
      <c r="B38" s="174">
        <f>SUM(B35:B37)</f>
        <v>77522.81</v>
      </c>
      <c r="C38" s="174">
        <f>SUM(C35:C37)</f>
        <v>1441590.6300000001</v>
      </c>
      <c r="D38" s="767">
        <f>C38/$C$49</f>
        <v>0.38359234850372614</v>
      </c>
      <c r="E38" s="216"/>
      <c r="F38" s="276">
        <f>SUM(F35:F37)</f>
        <v>53685.96</v>
      </c>
      <c r="G38" s="214">
        <f>SUM(G35:G37)</f>
        <v>131208.77000000002</v>
      </c>
      <c r="H38" s="8"/>
      <c r="I38" s="8"/>
      <c r="J38" s="8"/>
    </row>
    <row r="39" spans="2:10" ht="12.75">
      <c r="B39" s="173"/>
      <c r="C39" s="173"/>
      <c r="D39" s="767"/>
      <c r="E39" s="296"/>
      <c r="F39" s="275"/>
      <c r="G39" s="212"/>
      <c r="H39" s="8"/>
      <c r="I39" s="8"/>
      <c r="J39" s="8"/>
    </row>
    <row r="40" spans="1:15" s="136" customFormat="1" ht="12.75">
      <c r="A40" s="59">
        <v>2003</v>
      </c>
      <c r="B40" s="175"/>
      <c r="C40" s="175"/>
      <c r="D40" s="770"/>
      <c r="E40" s="204"/>
      <c r="F40" s="277"/>
      <c r="G40" s="204"/>
      <c r="H40" s="8"/>
      <c r="I40" s="8"/>
      <c r="J40" s="8"/>
      <c r="K40" s="142"/>
      <c r="L40" s="187"/>
      <c r="M40" s="187"/>
      <c r="O40" s="227"/>
    </row>
    <row r="41" spans="1:15" s="136" customFormat="1" ht="12.75">
      <c r="A41" s="10" t="s">
        <v>451</v>
      </c>
      <c r="B41" s="175">
        <f>+'[1]TB3-31-04 (Pre)'!F473</f>
        <v>87858.67</v>
      </c>
      <c r="C41" s="212">
        <f>+'[1]TB3-31-04 (Pre)'!F365</f>
        <v>1626410.46</v>
      </c>
      <c r="D41" s="767">
        <f>C41/C44</f>
        <v>0.7209933397914958</v>
      </c>
      <c r="E41" s="215"/>
      <c r="F41" s="275">
        <f>+'[1]TB3-31-04 (Pre)'!F520</f>
        <v>60568.8</v>
      </c>
      <c r="G41" s="212">
        <f>B41+F41</f>
        <v>148427.47</v>
      </c>
      <c r="H41" s="94"/>
      <c r="I41" s="94"/>
      <c r="J41" s="94"/>
      <c r="K41" s="281"/>
      <c r="L41" s="188"/>
      <c r="M41" s="188"/>
      <c r="O41" s="227"/>
    </row>
    <row r="42" spans="1:15" s="136" customFormat="1" ht="12.75">
      <c r="A42" s="10" t="s">
        <v>452</v>
      </c>
      <c r="B42" s="212">
        <f>+'[1]TB3-31-04 (Pre)'!F480</f>
        <v>122270.13</v>
      </c>
      <c r="C42" s="212">
        <f>+'[1]TB3-31-04 (Pre)'!F373</f>
        <v>628151.78</v>
      </c>
      <c r="D42" s="767">
        <f>C42/C44</f>
        <v>0.2784618402897956</v>
      </c>
      <c r="E42" s="215"/>
      <c r="F42" s="275">
        <f>+'[1]TB3-31-04 (Pre)'!F527</f>
        <v>23392.86</v>
      </c>
      <c r="G42" s="212">
        <f>B42+F42</f>
        <v>145662.99</v>
      </c>
      <c r="H42" s="94"/>
      <c r="I42" s="94"/>
      <c r="J42" s="94"/>
      <c r="K42" s="281"/>
      <c r="L42" s="188"/>
      <c r="M42" s="188"/>
      <c r="O42" s="227"/>
    </row>
    <row r="43" spans="1:15" s="136" customFormat="1" ht="12.75">
      <c r="A43" s="10" t="s">
        <v>397</v>
      </c>
      <c r="B43" s="213">
        <v>0</v>
      </c>
      <c r="C43" s="213">
        <f>+'[1]TB3-31-04 (Pre)'!F380</f>
        <v>1229</v>
      </c>
      <c r="D43" s="767">
        <f>C43/C44</f>
        <v>0.000544819918708435</v>
      </c>
      <c r="E43" s="215"/>
      <c r="F43" s="275">
        <f>+'[1]TB3-31-04 (Pre)'!F533</f>
        <v>45.77</v>
      </c>
      <c r="G43" s="212">
        <f>F43+B43</f>
        <v>45.77</v>
      </c>
      <c r="H43" s="94"/>
      <c r="I43" s="94"/>
      <c r="J43" s="94"/>
      <c r="K43" s="281"/>
      <c r="L43" s="188"/>
      <c r="M43" s="188"/>
      <c r="O43" s="227"/>
    </row>
    <row r="44" spans="1:13" ht="12.75">
      <c r="A44" s="8" t="s">
        <v>410</v>
      </c>
      <c r="B44" s="174">
        <f>SUM(B41:B43)</f>
        <v>210128.8</v>
      </c>
      <c r="C44" s="174">
        <f>SUM(C41:C43)</f>
        <v>2255791.24</v>
      </c>
      <c r="D44" s="767">
        <f>C44/$C$49</f>
        <v>0.600242705160849</v>
      </c>
      <c r="E44" s="216"/>
      <c r="F44" s="276">
        <f>SUM(F41:F43)</f>
        <v>84007.43000000001</v>
      </c>
      <c r="G44" s="214">
        <f>SUM(G41:G43)</f>
        <v>294136.23</v>
      </c>
      <c r="H44" s="94"/>
      <c r="I44" s="94"/>
      <c r="J44" s="94"/>
      <c r="K44" s="281"/>
      <c r="L44" s="188"/>
      <c r="M44" s="188"/>
    </row>
    <row r="45" spans="1:10" ht="12.75">
      <c r="A45" s="61" t="s">
        <v>453</v>
      </c>
      <c r="B45" s="175"/>
      <c r="C45" s="175"/>
      <c r="D45" s="770"/>
      <c r="E45" s="204"/>
      <c r="F45" s="277"/>
      <c r="G45" s="204"/>
      <c r="H45" s="8"/>
      <c r="I45" s="8"/>
      <c r="J45" s="8"/>
    </row>
    <row r="46" spans="1:7" ht="12.75">
      <c r="A46" s="67" t="s">
        <v>451</v>
      </c>
      <c r="B46" s="217">
        <f aca="true" t="shared" si="0" ref="B46:C48">+B11+B17+B23+B29+B35+B41</f>
        <v>130439.1</v>
      </c>
      <c r="C46" s="217">
        <f t="shared" si="0"/>
        <v>3058768.52</v>
      </c>
      <c r="D46" s="768">
        <f>C46/C49</f>
        <v>0.813906649848346</v>
      </c>
      <c r="E46" s="217"/>
      <c r="F46" s="298" t="e">
        <f>+F17+F23+F29+F35+F41</f>
        <v>#REF!</v>
      </c>
      <c r="G46" s="217" t="e">
        <f>B46+F46</f>
        <v>#REF!</v>
      </c>
    </row>
    <row r="47" spans="1:7" ht="12.75">
      <c r="A47" s="67" t="s">
        <v>452</v>
      </c>
      <c r="B47" s="217" t="e">
        <f t="shared" si="0"/>
        <v>#REF!</v>
      </c>
      <c r="C47" s="217">
        <f t="shared" si="0"/>
        <v>698134.3500000001</v>
      </c>
      <c r="D47" s="768">
        <f>C47/C49</f>
        <v>0.1857663259698229</v>
      </c>
      <c r="E47" s="217"/>
      <c r="F47" s="278" t="e">
        <f>+F18+F24+F30+F36+F42</f>
        <v>#REF!</v>
      </c>
      <c r="G47" s="217" t="e">
        <f>B47+F47</f>
        <v>#REF!</v>
      </c>
    </row>
    <row r="48" spans="1:7" ht="12.75">
      <c r="A48" s="67" t="s">
        <v>397</v>
      </c>
      <c r="B48" s="217">
        <f t="shared" si="0"/>
        <v>-374.81</v>
      </c>
      <c r="C48" s="217">
        <f t="shared" si="0"/>
        <v>1229</v>
      </c>
      <c r="D48" s="768">
        <f>C48/C49</f>
        <v>0.0003270241818310649</v>
      </c>
      <c r="E48" s="217"/>
      <c r="F48" s="278">
        <f>+F43+F37+F31+F25+F19</f>
        <v>1093.3899999999999</v>
      </c>
      <c r="G48" s="217">
        <f>B48+F48</f>
        <v>718.5799999999999</v>
      </c>
    </row>
    <row r="49" spans="1:7" ht="13.5" thickBot="1">
      <c r="A49" s="94" t="s">
        <v>410</v>
      </c>
      <c r="B49" s="305" t="e">
        <f>SUM(B46:B48)</f>
        <v>#REF!</v>
      </c>
      <c r="C49" s="305">
        <f>SUM(C46:C48)</f>
        <v>3758131.87</v>
      </c>
      <c r="D49" s="768">
        <f>C49/$C$49</f>
        <v>1</v>
      </c>
      <c r="E49" s="305"/>
      <c r="F49" s="306" t="e">
        <f>SUM(F46:F48)</f>
        <v>#REF!</v>
      </c>
      <c r="G49" s="305" t="e">
        <f>B49+F49</f>
        <v>#REF!</v>
      </c>
    </row>
    <row r="50" spans="1:15" s="596" customFormat="1" ht="13.5" thickTop="1">
      <c r="A50" s="592" t="s">
        <v>200</v>
      </c>
      <c r="B50" s="593">
        <f>+'[1]TB03-31-04(Final)'!G486</f>
        <v>292907.87</v>
      </c>
      <c r="C50" s="593">
        <f>+'[1]TB03-31-04(Final)'!G384</f>
        <v>3791762.3499999996</v>
      </c>
      <c r="D50" s="594"/>
      <c r="E50" s="595"/>
      <c r="F50" s="595">
        <f>+'[1]TB03-31-04(Final)'!G547</f>
        <v>139421.58999999997</v>
      </c>
      <c r="G50" s="595"/>
      <c r="J50" s="597"/>
      <c r="K50" s="598"/>
      <c r="L50" s="593"/>
      <c r="M50" s="593"/>
      <c r="O50" s="598"/>
    </row>
    <row r="51" spans="1:15" s="596" customFormat="1" ht="12.75">
      <c r="A51" s="592"/>
      <c r="B51" s="593" t="e">
        <f>+B49-B50</f>
        <v>#REF!</v>
      </c>
      <c r="C51" s="593">
        <f>+C49-C50</f>
        <v>-33630.479999999516</v>
      </c>
      <c r="D51" s="599"/>
      <c r="E51" s="595"/>
      <c r="F51" s="592" t="e">
        <f>+F49-F50</f>
        <v>#REF!</v>
      </c>
      <c r="G51" s="595"/>
      <c r="J51" s="597"/>
      <c r="K51" s="598"/>
      <c r="L51" s="593"/>
      <c r="M51" s="593"/>
      <c r="O51" s="598"/>
    </row>
    <row r="52" spans="1:7" ht="12.75">
      <c r="A52" s="299" t="s">
        <v>45</v>
      </c>
      <c r="B52" s="300"/>
      <c r="C52" s="300"/>
      <c r="D52" s="209"/>
      <c r="E52" s="175"/>
      <c r="F52" s="218"/>
      <c r="G52" s="175"/>
    </row>
    <row r="53" spans="1:7" ht="25.5">
      <c r="A53" s="62" t="s">
        <v>454</v>
      </c>
      <c r="B53" s="176"/>
      <c r="C53" s="176"/>
      <c r="D53" s="210"/>
      <c r="E53" s="204"/>
      <c r="F53" s="297">
        <v>495387.39</v>
      </c>
      <c r="G53" s="204"/>
    </row>
    <row r="55" spans="1:6" ht="12.75">
      <c r="A55" s="118" t="s">
        <v>194</v>
      </c>
      <c r="B55" s="123">
        <v>51200</v>
      </c>
      <c r="C55" s="124">
        <v>51100</v>
      </c>
      <c r="D55" s="220"/>
      <c r="E55" s="125"/>
      <c r="F55" s="125" t="s">
        <v>196</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4" t="s">
        <v>81</v>
      </c>
      <c r="B2" s="1014"/>
      <c r="C2" s="1014"/>
      <c r="D2" s="1014"/>
      <c r="E2" s="1014"/>
      <c r="F2" s="1014"/>
      <c r="G2" s="1014"/>
      <c r="H2" s="1014"/>
      <c r="I2" s="1014"/>
      <c r="J2" s="1014"/>
    </row>
    <row r="3" spans="1:7" ht="19.5" customHeight="1">
      <c r="A3" s="243"/>
      <c r="B3" s="244"/>
      <c r="C3" s="244"/>
      <c r="E3" s="244"/>
      <c r="F3" s="244"/>
      <c r="G3" s="244"/>
    </row>
    <row r="4" spans="1:10" ht="19.5" customHeight="1">
      <c r="A4" s="1015" t="s">
        <v>82</v>
      </c>
      <c r="B4" s="1015"/>
      <c r="C4" s="1015"/>
      <c r="D4" s="1015"/>
      <c r="E4" s="1015"/>
      <c r="F4" s="1015"/>
      <c r="G4" s="1015"/>
      <c r="H4" s="1015"/>
      <c r="I4" s="1015"/>
      <c r="J4" s="1015"/>
    </row>
    <row r="5" ht="19.5" customHeight="1">
      <c r="B5" s="9"/>
    </row>
    <row r="6" spans="2:10" ht="19.5" customHeight="1">
      <c r="B6" s="1016" t="s">
        <v>433</v>
      </c>
      <c r="C6" s="1016"/>
      <c r="D6" s="1016"/>
      <c r="E6" s="6"/>
      <c r="F6" s="6"/>
      <c r="G6" s="6"/>
      <c r="H6" s="141" t="s">
        <v>434</v>
      </c>
      <c r="I6" s="141"/>
      <c r="J6" s="140"/>
    </row>
    <row r="7" spans="2:10" ht="19.5" customHeight="1" thickBot="1">
      <c r="B7" s="1017" t="s">
        <v>83</v>
      </c>
      <c r="C7" s="1017"/>
      <c r="D7" s="1017"/>
      <c r="E7" s="248"/>
      <c r="F7" s="248"/>
      <c r="G7" s="248"/>
      <c r="H7" s="1017" t="s">
        <v>83</v>
      </c>
      <c r="I7" s="1017"/>
      <c r="J7" s="1017"/>
    </row>
    <row r="8" spans="2:10" ht="19.5" customHeight="1" thickBot="1">
      <c r="B8" s="245">
        <v>2002</v>
      </c>
      <c r="C8" s="139"/>
      <c r="D8" s="245">
        <v>2001</v>
      </c>
      <c r="E8" s="139"/>
      <c r="F8" s="361" t="s">
        <v>225</v>
      </c>
      <c r="G8" s="139"/>
      <c r="H8" s="245">
        <v>2002</v>
      </c>
      <c r="I8" s="139"/>
      <c r="J8" s="245">
        <v>2001</v>
      </c>
    </row>
    <row r="9" spans="1:9" ht="19.5" customHeight="1">
      <c r="A9" s="14"/>
      <c r="B9" s="112"/>
      <c r="C9" s="112"/>
      <c r="D9" s="14"/>
      <c r="E9" s="130"/>
      <c r="F9" s="130"/>
      <c r="G9" s="130"/>
      <c r="I9" s="45"/>
    </row>
    <row r="10" spans="1:10" ht="19.5" customHeight="1">
      <c r="A10" s="95" t="s">
        <v>84</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85</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86</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87</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88</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263</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89</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149</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90</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91</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92</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70" customWidth="1"/>
    <col min="7" max="7" width="11.7109375" style="0" hidden="1" customWidth="1"/>
    <col min="8" max="8" width="12.57421875" style="0" hidden="1" customWidth="1"/>
    <col min="9" max="9" width="12.28125" style="0" hidden="1" customWidth="1"/>
    <col min="10" max="10" width="14.00390625" style="699" hidden="1" customWidth="1"/>
    <col min="11" max="11" width="15.00390625" style="699" hidden="1" customWidth="1"/>
    <col min="12" max="12" width="13.8515625" style="700" customWidth="1"/>
    <col min="13" max="15" width="9.140625" style="0" hidden="1" customWidth="1"/>
    <col min="16" max="16" width="14.28125" style="0" hidden="1" customWidth="1"/>
    <col min="17" max="17" width="12.28125" style="0" hidden="1" customWidth="1"/>
    <col min="18" max="18" width="13.140625" style="0" customWidth="1"/>
    <col min="19" max="19" width="10.57421875" style="715" customWidth="1"/>
    <col min="20" max="20" width="35.7109375" style="0" customWidth="1"/>
  </cols>
  <sheetData>
    <row r="1" spans="1:20" s="50" customFormat="1" ht="22.5" customHeight="1">
      <c r="A1" s="947" t="s">
        <v>258</v>
      </c>
      <c r="B1" s="947"/>
      <c r="C1" s="947"/>
      <c r="D1" s="947"/>
      <c r="E1" s="947"/>
      <c r="F1" s="947"/>
      <c r="G1" s="947"/>
      <c r="H1" s="947"/>
      <c r="I1" s="947"/>
      <c r="J1" s="947"/>
      <c r="K1" s="947"/>
      <c r="L1" s="947"/>
      <c r="M1" s="947"/>
      <c r="N1" s="947"/>
      <c r="O1" s="947"/>
      <c r="P1" s="947"/>
      <c r="Q1" s="947"/>
      <c r="R1" s="947"/>
      <c r="S1" s="947"/>
      <c r="T1" s="947"/>
    </row>
    <row r="2" ht="7.5" customHeight="1"/>
    <row r="3" spans="1:20" ht="19.5">
      <c r="A3" s="947" t="s">
        <v>118</v>
      </c>
      <c r="B3" s="947"/>
      <c r="C3" s="947"/>
      <c r="D3" s="947"/>
      <c r="E3" s="947"/>
      <c r="F3" s="947"/>
      <c r="G3" s="947"/>
      <c r="H3" s="947"/>
      <c r="I3" s="947"/>
      <c r="J3" s="947"/>
      <c r="K3" s="947"/>
      <c r="L3" s="947"/>
      <c r="M3" s="947"/>
      <c r="N3" s="947"/>
      <c r="O3" s="947"/>
      <c r="P3" s="947"/>
      <c r="Q3" s="947"/>
      <c r="R3" s="947"/>
      <c r="S3" s="947"/>
      <c r="T3" s="947"/>
    </row>
    <row r="4" spans="2:9" ht="8.25" customHeight="1">
      <c r="B4" s="660"/>
      <c r="C4" s="666"/>
      <c r="D4" s="660"/>
      <c r="E4" s="660"/>
      <c r="F4" s="666"/>
      <c r="G4" s="660"/>
      <c r="H4" s="660"/>
      <c r="I4" s="660"/>
    </row>
    <row r="5" spans="1:20" ht="19.5">
      <c r="A5" s="947" t="s">
        <v>8</v>
      </c>
      <c r="B5" s="947"/>
      <c r="C5" s="947"/>
      <c r="D5" s="947"/>
      <c r="E5" s="947"/>
      <c r="F5" s="947"/>
      <c r="G5" s="947"/>
      <c r="H5" s="947"/>
      <c r="I5" s="947"/>
      <c r="J5" s="947"/>
      <c r="K5" s="947"/>
      <c r="L5" s="947"/>
      <c r="M5" s="947"/>
      <c r="N5" s="947"/>
      <c r="O5" s="947"/>
      <c r="P5" s="947"/>
      <c r="Q5" s="947"/>
      <c r="R5" s="947"/>
      <c r="S5" s="947"/>
      <c r="T5" s="947"/>
    </row>
    <row r="6" spans="7:9" ht="12.75">
      <c r="G6" s="942" t="s">
        <v>239</v>
      </c>
      <c r="H6" s="942"/>
      <c r="I6" s="942"/>
    </row>
    <row r="7" spans="4:17" ht="12.75">
      <c r="D7" s="948" t="s">
        <v>139</v>
      </c>
      <c r="E7" s="948"/>
      <c r="F7" s="948"/>
      <c r="J7" s="948" t="s">
        <v>114</v>
      </c>
      <c r="K7" s="948"/>
      <c r="L7" s="948"/>
      <c r="M7" s="948"/>
      <c r="N7" s="948"/>
      <c r="O7" s="948"/>
      <c r="P7" s="948"/>
      <c r="Q7" s="948"/>
    </row>
    <row r="8" spans="4:18" ht="12.75">
      <c r="D8" s="679" t="s">
        <v>167</v>
      </c>
      <c r="E8" s="683" t="s">
        <v>168</v>
      </c>
      <c r="F8" s="948" t="s">
        <v>115</v>
      </c>
      <c r="G8" s="948"/>
      <c r="H8" s="948"/>
      <c r="I8" s="948"/>
      <c r="J8" s="948"/>
      <c r="K8" s="948"/>
      <c r="L8" s="948"/>
      <c r="P8" s="683"/>
      <c r="Q8" s="683"/>
      <c r="R8" s="683" t="s">
        <v>341</v>
      </c>
    </row>
    <row r="9" spans="2:20" ht="13.5" thickBot="1">
      <c r="B9" s="684" t="s">
        <v>10</v>
      </c>
      <c r="C9" s="674"/>
      <c r="D9" s="682" t="s">
        <v>166</v>
      </c>
      <c r="E9" s="684" t="s">
        <v>166</v>
      </c>
      <c r="F9" s="946" t="s">
        <v>5</v>
      </c>
      <c r="G9" s="946" t="s">
        <v>166</v>
      </c>
      <c r="H9" s="946" t="s">
        <v>166</v>
      </c>
      <c r="I9" s="946"/>
      <c r="J9" s="946" t="s">
        <v>166</v>
      </c>
      <c r="K9" s="946" t="s">
        <v>166</v>
      </c>
      <c r="L9" s="684" t="s">
        <v>6</v>
      </c>
      <c r="P9" s="684"/>
      <c r="Q9" s="671"/>
      <c r="R9" s="684" t="s">
        <v>67</v>
      </c>
      <c r="S9" s="710" t="s">
        <v>19</v>
      </c>
      <c r="T9" s="684" t="s">
        <v>20</v>
      </c>
    </row>
    <row r="10" spans="2:19" ht="12.75">
      <c r="B10" s="679"/>
      <c r="I10" s="360"/>
      <c r="S10" s="717"/>
    </row>
    <row r="11" spans="1:19" ht="12.75">
      <c r="A11" t="s">
        <v>325</v>
      </c>
      <c r="B11" s="679" t="s">
        <v>169</v>
      </c>
      <c r="C11" s="676"/>
      <c r="D11" s="677">
        <f>+'[1]TB03-31-04(Final)'!Z578+'[1]TB03-31-04(Final)'!E1004</f>
        <v>4438743.83</v>
      </c>
      <c r="E11" s="677">
        <v>0</v>
      </c>
      <c r="F11" s="760">
        <f>SUM(D11:E11)</f>
        <v>4438743.83</v>
      </c>
      <c r="G11" s="761"/>
      <c r="H11" s="761"/>
      <c r="I11" s="761">
        <f aca="true" t="shared" si="0" ref="I11:I28">SUM(G11:H11)</f>
        <v>0</v>
      </c>
      <c r="J11" s="762">
        <f>+'[6]TB09-30-02(Final)'!$I$511+'[6]TB09-30-02(Final)'!$E$911</f>
        <v>3977400.389999999</v>
      </c>
      <c r="K11" s="762"/>
      <c r="L11" s="760">
        <f>+J11+K11</f>
        <v>3977400.389999999</v>
      </c>
      <c r="M11" s="763"/>
      <c r="N11" s="763"/>
      <c r="O11" s="763"/>
      <c r="P11" s="763"/>
      <c r="Q11" s="763">
        <f>SUM(J11:P11)</f>
        <v>7954800.779999998</v>
      </c>
      <c r="R11" s="742">
        <f>+F11-L11</f>
        <v>461343.4400000009</v>
      </c>
      <c r="S11" s="714">
        <f>R11/L11</f>
        <v>0.11599119896501066</v>
      </c>
    </row>
    <row r="12" spans="2:19" ht="12.75">
      <c r="B12" s="679"/>
      <c r="C12" s="676"/>
      <c r="D12" s="677"/>
      <c r="E12" s="677"/>
      <c r="F12" s="690"/>
      <c r="G12" s="691"/>
      <c r="H12" s="691"/>
      <c r="I12" s="692"/>
      <c r="L12" s="690"/>
      <c r="Q12" s="673"/>
      <c r="R12" s="679"/>
      <c r="S12" s="714"/>
    </row>
    <row r="13" spans="2:19" ht="12.75">
      <c r="B13" s="679" t="s">
        <v>116</v>
      </c>
      <c r="C13" s="676"/>
      <c r="D13" s="677"/>
      <c r="E13" s="677"/>
      <c r="F13" s="690"/>
      <c r="G13" s="691"/>
      <c r="H13" s="691"/>
      <c r="I13" s="692"/>
      <c r="L13" s="690"/>
      <c r="Q13" s="673"/>
      <c r="R13" s="679"/>
      <c r="S13" s="714"/>
    </row>
    <row r="14" spans="2:19" ht="12.75">
      <c r="B14" s="679"/>
      <c r="C14" s="677"/>
      <c r="D14" s="677"/>
      <c r="E14" s="677"/>
      <c r="F14" s="690"/>
      <c r="G14" s="691"/>
      <c r="H14" s="691"/>
      <c r="I14" s="692"/>
      <c r="L14" s="690"/>
      <c r="Q14" s="673">
        <f aca="true" t="shared" si="1" ref="Q14:Q54">SUM(J14:P14)</f>
        <v>0</v>
      </c>
      <c r="R14" s="679"/>
      <c r="S14" s="714"/>
    </row>
    <row r="15" spans="1:20" ht="12.75">
      <c r="A15" t="s">
        <v>326</v>
      </c>
      <c r="B15" s="679" t="s">
        <v>94</v>
      </c>
      <c r="C15" s="676"/>
      <c r="D15" s="677">
        <v>0</v>
      </c>
      <c r="E15" s="677">
        <f>+'[1]TB03-31-04(Final)'!E630</f>
        <v>521247.75000000006</v>
      </c>
      <c r="F15" s="690">
        <f>SUM(D15:E15)</f>
        <v>521247.75000000006</v>
      </c>
      <c r="G15" s="691"/>
      <c r="H15" s="691"/>
      <c r="I15" s="692">
        <f t="shared" si="0"/>
        <v>0</v>
      </c>
      <c r="K15" s="699">
        <f>+'[6]TB09-30-02(Final)'!$E$551</f>
        <v>404349.55000000005</v>
      </c>
      <c r="L15" s="690">
        <f aca="true" t="shared" si="2" ref="L15:L54">+J15+K15</f>
        <v>404349.55000000005</v>
      </c>
      <c r="Q15" s="673">
        <f t="shared" si="1"/>
        <v>808699.1000000001</v>
      </c>
      <c r="R15" s="679">
        <f aca="true" t="shared" si="3" ref="R15:R65">+F15-L15</f>
        <v>116898.20000000001</v>
      </c>
      <c r="S15" s="714">
        <f>R15/L15</f>
        <v>0.2891018427002083</v>
      </c>
      <c r="T15" t="s">
        <v>224</v>
      </c>
    </row>
    <row r="16" spans="2:19" ht="12.75">
      <c r="B16" s="679"/>
      <c r="C16" s="676"/>
      <c r="D16" s="677"/>
      <c r="E16" s="677"/>
      <c r="F16" s="690"/>
      <c r="G16" s="691"/>
      <c r="H16" s="691"/>
      <c r="I16" s="692"/>
      <c r="L16" s="690"/>
      <c r="Q16" s="673">
        <f t="shared" si="1"/>
        <v>0</v>
      </c>
      <c r="R16" s="679"/>
      <c r="S16" s="714"/>
    </row>
    <row r="17" spans="1:19" ht="12.75">
      <c r="A17" t="s">
        <v>327</v>
      </c>
      <c r="B17" s="679" t="s">
        <v>170</v>
      </c>
      <c r="C17" s="676"/>
      <c r="D17" s="677">
        <v>0</v>
      </c>
      <c r="E17" s="677">
        <v>0</v>
      </c>
      <c r="F17" s="690">
        <f>SUM(D17:E17)</f>
        <v>0</v>
      </c>
      <c r="G17" s="691"/>
      <c r="H17" s="691"/>
      <c r="I17" s="692">
        <f t="shared" si="0"/>
        <v>0</v>
      </c>
      <c r="L17" s="690">
        <f t="shared" si="2"/>
        <v>0</v>
      </c>
      <c r="Q17" s="673">
        <f t="shared" si="1"/>
        <v>0</v>
      </c>
      <c r="R17" s="679">
        <f t="shared" si="3"/>
        <v>0</v>
      </c>
      <c r="S17" s="714"/>
    </row>
    <row r="18" spans="2:19" ht="12.75">
      <c r="B18" s="679"/>
      <c r="C18" s="676"/>
      <c r="D18" s="677"/>
      <c r="E18" s="677"/>
      <c r="F18" s="690"/>
      <c r="G18" s="691"/>
      <c r="H18" s="691"/>
      <c r="I18" s="692"/>
      <c r="L18" s="690"/>
      <c r="Q18" s="673">
        <f t="shared" si="1"/>
        <v>0</v>
      </c>
      <c r="R18" s="679"/>
      <c r="S18" s="714"/>
    </row>
    <row r="19" spans="1:19" ht="12.75">
      <c r="A19" t="s">
        <v>328</v>
      </c>
      <c r="B19" s="679" t="s">
        <v>171</v>
      </c>
      <c r="C19" s="676"/>
      <c r="D19" s="677"/>
      <c r="E19" s="677">
        <f>+'[1]TB03-31-04(Final)'!E639</f>
        <v>3506.25</v>
      </c>
      <c r="F19" s="690">
        <f>SUM(D19:E19)</f>
        <v>3506.25</v>
      </c>
      <c r="G19" s="691"/>
      <c r="H19" s="691"/>
      <c r="I19" s="692">
        <f t="shared" si="0"/>
        <v>0</v>
      </c>
      <c r="K19" s="699">
        <f>+'[6]TB09-30-02(Final)'!$E$559</f>
        <v>4125</v>
      </c>
      <c r="L19" s="690">
        <f t="shared" si="2"/>
        <v>4125</v>
      </c>
      <c r="Q19" s="673">
        <f t="shared" si="1"/>
        <v>8250</v>
      </c>
      <c r="R19" s="679">
        <f t="shared" si="3"/>
        <v>-618.75</v>
      </c>
      <c r="S19" s="714">
        <f>R19/L19</f>
        <v>-0.15</v>
      </c>
    </row>
    <row r="21" spans="1:20" ht="12.75">
      <c r="A21" t="s">
        <v>329</v>
      </c>
      <c r="B21" s="679" t="s">
        <v>124</v>
      </c>
      <c r="C21" s="676"/>
      <c r="D21" s="677">
        <v>0</v>
      </c>
      <c r="E21" s="677">
        <v>0</v>
      </c>
      <c r="F21" s="690">
        <f>SUM(D21:E21)</f>
        <v>0</v>
      </c>
      <c r="G21" s="691"/>
      <c r="H21" s="691"/>
      <c r="I21" s="692"/>
      <c r="K21" s="699">
        <f>+'[6]TB09-30-02(Final)'!$E$555</f>
        <v>14250</v>
      </c>
      <c r="L21" s="690">
        <f>+J21+K21</f>
        <v>14250</v>
      </c>
      <c r="Q21" s="673">
        <f>SUM(J21:P21)</f>
        <v>28500</v>
      </c>
      <c r="R21" s="679">
        <f>+F21-L21</f>
        <v>-14250</v>
      </c>
      <c r="S21" s="714">
        <f>R21/L21</f>
        <v>-1</v>
      </c>
      <c r="T21" t="s">
        <v>123</v>
      </c>
    </row>
    <row r="22" spans="2:19" ht="12.75">
      <c r="B22" s="679" t="s">
        <v>125</v>
      </c>
      <c r="C22" s="676"/>
      <c r="D22" s="677"/>
      <c r="E22" s="677"/>
      <c r="F22" s="690">
        <f>SUM(D23:E23)</f>
        <v>93073.73</v>
      </c>
      <c r="G22" s="691"/>
      <c r="H22" s="691"/>
      <c r="I22" s="692">
        <f>SUM(G22:H22)</f>
        <v>0</v>
      </c>
      <c r="K22" s="699">
        <f>'[6]TB09-30-02(Final)'!$E$565</f>
        <v>72119.22</v>
      </c>
      <c r="L22" s="690">
        <f>+J22+K22</f>
        <v>72119.22</v>
      </c>
      <c r="Q22" s="673">
        <f>SUM(J22:P22)</f>
        <v>144238.44</v>
      </c>
      <c r="R22" s="679">
        <f>+F22-L22</f>
        <v>20954.509999999995</v>
      </c>
      <c r="S22" s="714">
        <f>R22/L22</f>
        <v>0.2905537525225591</v>
      </c>
    </row>
    <row r="23" spans="3:5" ht="12.75">
      <c r="C23" s="676"/>
      <c r="D23" s="677">
        <f>+'[1]TB03-31-04(Final)'!D633</f>
        <v>104.64</v>
      </c>
      <c r="E23" s="677">
        <f>+'[1]TB03-31-04(Final)'!E647</f>
        <v>92969.09</v>
      </c>
    </row>
    <row r="24" spans="2:19" ht="12.75">
      <c r="B24" s="679"/>
      <c r="C24" s="676"/>
      <c r="D24" s="677"/>
      <c r="E24" s="677"/>
      <c r="F24" s="690"/>
      <c r="G24" s="691"/>
      <c r="H24" s="691"/>
      <c r="I24" s="692">
        <f t="shared" si="0"/>
        <v>0</v>
      </c>
      <c r="L24" s="690"/>
      <c r="Q24" s="673">
        <f t="shared" si="1"/>
        <v>0</v>
      </c>
      <c r="R24" s="679"/>
      <c r="S24" s="714"/>
    </row>
    <row r="25" spans="1:20" ht="12.75">
      <c r="A25" t="s">
        <v>330</v>
      </c>
      <c r="B25" s="679" t="s">
        <v>26</v>
      </c>
      <c r="C25" s="676">
        <v>542.61</v>
      </c>
      <c r="D25" s="677">
        <f>+'[1]TB03-31-04(Final)'!Z765</f>
        <v>642.87</v>
      </c>
      <c r="E25" s="677">
        <f>+'[1]TB03-31-04(Final)'!Z768</f>
        <v>4352.13</v>
      </c>
      <c r="F25" s="690">
        <f>SUM(D25:E25)</f>
        <v>4995</v>
      </c>
      <c r="G25" s="691"/>
      <c r="H25" s="691"/>
      <c r="I25" s="692">
        <f t="shared" si="0"/>
        <v>0</v>
      </c>
      <c r="J25" s="701">
        <v>-9625.77</v>
      </c>
      <c r="K25" s="699">
        <f>+'[6]TB09-30-02(Final)'!$E$678-J25</f>
        <v>-67442.04</v>
      </c>
      <c r="L25" s="690">
        <f t="shared" si="2"/>
        <v>-77067.81</v>
      </c>
      <c r="Q25" s="673">
        <f t="shared" si="1"/>
        <v>-154135.62</v>
      </c>
      <c r="R25" s="679">
        <f t="shared" si="3"/>
        <v>82062.81</v>
      </c>
      <c r="S25" s="714">
        <f>R25/L25</f>
        <v>-1.0648130522977104</v>
      </c>
      <c r="T25" t="s">
        <v>133</v>
      </c>
    </row>
    <row r="26" spans="2:19" ht="12.75">
      <c r="B26" s="679"/>
      <c r="C26" s="676"/>
      <c r="D26" s="677"/>
      <c r="E26" s="677"/>
      <c r="F26" s="690"/>
      <c r="G26" s="691"/>
      <c r="H26" s="691"/>
      <c r="I26" s="692">
        <f t="shared" si="0"/>
        <v>0</v>
      </c>
      <c r="J26" s="701"/>
      <c r="L26" s="690">
        <f t="shared" si="2"/>
        <v>0</v>
      </c>
      <c r="Q26" s="673">
        <f t="shared" si="1"/>
        <v>0</v>
      </c>
      <c r="R26" s="679">
        <f t="shared" si="3"/>
        <v>0</v>
      </c>
      <c r="S26" s="714"/>
    </row>
    <row r="27" spans="1:19" ht="12.75">
      <c r="A27" t="s">
        <v>331</v>
      </c>
      <c r="B27" s="679" t="s">
        <v>172</v>
      </c>
      <c r="C27" s="676"/>
      <c r="D27" s="677"/>
      <c r="E27" s="677"/>
      <c r="F27" s="690">
        <f>SUM(D27:E27)</f>
        <v>0</v>
      </c>
      <c r="G27" s="691"/>
      <c r="H27" s="691"/>
      <c r="I27" s="692">
        <f t="shared" si="0"/>
        <v>0</v>
      </c>
      <c r="J27" s="701"/>
      <c r="L27" s="690">
        <f t="shared" si="2"/>
        <v>0</v>
      </c>
      <c r="Q27" s="673">
        <f t="shared" si="1"/>
        <v>0</v>
      </c>
      <c r="R27" s="679">
        <f t="shared" si="3"/>
        <v>0</v>
      </c>
      <c r="S27" s="714"/>
    </row>
    <row r="28" spans="2:19" ht="12.75">
      <c r="B28" s="677" t="s">
        <v>173</v>
      </c>
      <c r="C28" s="676">
        <v>52540.85</v>
      </c>
      <c r="D28" s="677">
        <f>+'[1]TB03-31-04(Final)'!D654</f>
        <v>64199.27</v>
      </c>
      <c r="E28" s="677">
        <f>+'[1]TB03-31-04(Final)'!E657-D28</f>
        <v>442443.3300000001</v>
      </c>
      <c r="F28" s="690">
        <f>SUM(D28:E28)</f>
        <v>506642.6000000001</v>
      </c>
      <c r="G28" s="691"/>
      <c r="H28" s="691"/>
      <c r="I28" s="692">
        <f t="shared" si="0"/>
        <v>0</v>
      </c>
      <c r="J28" s="701">
        <f>+'[6]TB09-30-02(Final)'!$D$572</f>
        <v>60915.6</v>
      </c>
      <c r="K28" s="699">
        <f>+'[6]TB09-30-02(Final)'!$E$575-J28</f>
        <v>433011.91</v>
      </c>
      <c r="L28" s="690">
        <f t="shared" si="2"/>
        <v>493927.50999999995</v>
      </c>
      <c r="Q28" s="673">
        <f t="shared" si="1"/>
        <v>987855.0199999999</v>
      </c>
      <c r="R28" s="679">
        <f t="shared" si="3"/>
        <v>12715.090000000142</v>
      </c>
      <c r="S28" s="714">
        <f>R28/L28</f>
        <v>0.025742826108228197</v>
      </c>
    </row>
    <row r="29" spans="2:19" ht="12.75">
      <c r="B29" s="677" t="s">
        <v>174</v>
      </c>
      <c r="C29" s="676">
        <f>3911.93+556.52+147.7-0.79</f>
        <v>4615.36</v>
      </c>
      <c r="D29" s="677">
        <f>+'[1]TB03-31-04(Final)'!Z760</f>
        <v>6232.78</v>
      </c>
      <c r="E29" s="677">
        <f>+'[1]TB03-31-04(Final)'!Z761-D29</f>
        <v>43720.38000000001</v>
      </c>
      <c r="F29" s="690">
        <f>SUM(D29:E29)</f>
        <v>49953.16000000001</v>
      </c>
      <c r="G29" s="691"/>
      <c r="H29" s="691"/>
      <c r="I29" s="692"/>
      <c r="J29" s="701">
        <f>4560.4+633.08+166.63+5.08+7.99</f>
        <v>5373.179999999999</v>
      </c>
      <c r="K29" s="699">
        <f>SUM('[6]TB09-30-02(Final)'!$E$631:$E$670)-J29</f>
        <v>36787.85</v>
      </c>
      <c r="L29" s="690">
        <f t="shared" si="2"/>
        <v>42161.03</v>
      </c>
      <c r="Q29" s="673">
        <f t="shared" si="1"/>
        <v>84322.06</v>
      </c>
      <c r="R29" s="679">
        <f t="shared" si="3"/>
        <v>7792.130000000012</v>
      </c>
      <c r="S29" s="714">
        <f>R29/L29</f>
        <v>0.18481830258890763</v>
      </c>
    </row>
    <row r="30" spans="2:19" ht="12.75">
      <c r="B30" s="679"/>
      <c r="C30" s="676"/>
      <c r="D30" s="677"/>
      <c r="E30" s="677"/>
      <c r="F30" s="690">
        <f>SUM(D30:E30)</f>
        <v>0</v>
      </c>
      <c r="G30" s="691"/>
      <c r="H30" s="691"/>
      <c r="I30" s="692"/>
      <c r="J30" s="701"/>
      <c r="L30" s="690">
        <f t="shared" si="2"/>
        <v>0</v>
      </c>
      <c r="Q30" s="673">
        <f t="shared" si="1"/>
        <v>0</v>
      </c>
      <c r="R30" s="679">
        <f t="shared" si="3"/>
        <v>0</v>
      </c>
      <c r="S30" s="714"/>
    </row>
    <row r="31" spans="1:20" ht="12.75">
      <c r="A31" t="s">
        <v>332</v>
      </c>
      <c r="B31" s="679" t="s">
        <v>432</v>
      </c>
      <c r="C31" s="676">
        <f>248.53+79.86+13823.98+583+3163.07+9266.34</f>
        <v>27164.78</v>
      </c>
      <c r="D31" s="677">
        <f>+'[1]TB03-31-04(Final)'!Z720</f>
        <v>34486.11</v>
      </c>
      <c r="E31" s="677">
        <f>+'[1]TB03-31-04(Final)'!Z721-'[1]TB03-31-04(Final)'!Z720</f>
        <v>244292.7</v>
      </c>
      <c r="F31" s="690">
        <f>SUM(D31:E31)</f>
        <v>278778.81</v>
      </c>
      <c r="G31" s="691"/>
      <c r="H31" s="691"/>
      <c r="I31" s="692"/>
      <c r="J31" s="701">
        <f>253.57+92.43+12124.74+539.42+3593.13+2822.87</f>
        <v>19426.16</v>
      </c>
      <c r="K31" s="699">
        <f>SUM('[6]TB09-30-02(Final)'!$E$581:$E$630)-J31</f>
        <v>140199.27</v>
      </c>
      <c r="L31" s="690">
        <f t="shared" si="2"/>
        <v>159625.43</v>
      </c>
      <c r="Q31" s="673">
        <f t="shared" si="1"/>
        <v>319250.86</v>
      </c>
      <c r="R31" s="679">
        <f t="shared" si="3"/>
        <v>119153.38</v>
      </c>
      <c r="S31" s="714">
        <f>R31/L31</f>
        <v>0.7464561254431704</v>
      </c>
      <c r="T31" s="360">
        <v>137024.19</v>
      </c>
    </row>
    <row r="32" spans="2:20" ht="12.75">
      <c r="B32" s="677" t="s">
        <v>66</v>
      </c>
      <c r="C32" s="676"/>
      <c r="D32" s="677"/>
      <c r="E32" s="677"/>
      <c r="F32" s="690"/>
      <c r="G32" s="691"/>
      <c r="H32" s="691"/>
      <c r="I32" s="692"/>
      <c r="J32" s="701"/>
      <c r="L32" s="690">
        <f t="shared" si="2"/>
        <v>0</v>
      </c>
      <c r="Q32" s="673">
        <f t="shared" si="1"/>
        <v>0</v>
      </c>
      <c r="R32" s="679">
        <f t="shared" si="3"/>
        <v>0</v>
      </c>
      <c r="S32" s="714"/>
      <c r="T32" s="360">
        <v>22601.24</v>
      </c>
    </row>
    <row r="33" spans="2:20" ht="12.75">
      <c r="B33" s="677" t="s">
        <v>65</v>
      </c>
      <c r="C33" s="676"/>
      <c r="D33" s="677"/>
      <c r="E33" s="677"/>
      <c r="F33" s="690"/>
      <c r="G33" s="691"/>
      <c r="H33" s="691"/>
      <c r="I33" s="692"/>
      <c r="J33" s="701"/>
      <c r="L33" s="690">
        <f t="shared" si="2"/>
        <v>0</v>
      </c>
      <c r="Q33" s="673">
        <f t="shared" si="1"/>
        <v>0</v>
      </c>
      <c r="R33" s="679">
        <f t="shared" si="3"/>
        <v>0</v>
      </c>
      <c r="S33" s="714"/>
      <c r="T33" s="360">
        <v>0</v>
      </c>
    </row>
    <row r="34" spans="2:20" ht="12.75">
      <c r="B34" s="679"/>
      <c r="C34" s="676"/>
      <c r="D34" s="677"/>
      <c r="E34" s="677"/>
      <c r="F34" s="690"/>
      <c r="G34" s="691"/>
      <c r="H34" s="691"/>
      <c r="I34" s="692"/>
      <c r="J34" s="701"/>
      <c r="L34" s="690"/>
      <c r="Q34" s="673">
        <f t="shared" si="1"/>
        <v>0</v>
      </c>
      <c r="R34" s="679"/>
      <c r="S34" s="714"/>
      <c r="T34" t="s">
        <v>130</v>
      </c>
    </row>
    <row r="35" spans="1:20" ht="12.75">
      <c r="A35" t="s">
        <v>333</v>
      </c>
      <c r="B35" s="679" t="s">
        <v>148</v>
      </c>
      <c r="C35" s="676"/>
      <c r="D35" s="677">
        <f>+'[1]TB03-31-04(Final)'!Z963</f>
        <v>0</v>
      </c>
      <c r="E35" s="677">
        <f>+'[1]TB03-31-04(Final)'!E966</f>
        <v>0</v>
      </c>
      <c r="F35" s="690">
        <f aca="true" t="shared" si="4" ref="F35:F46">SUM(D35:E35)</f>
        <v>0</v>
      </c>
      <c r="G35" s="691"/>
      <c r="H35" s="691"/>
      <c r="I35" s="692"/>
      <c r="J35" s="701">
        <f>+'[6]TB09-30-02(Final)'!$D$872</f>
        <v>0</v>
      </c>
      <c r="K35" s="699">
        <f>+'[6]TB09-30-02(Final)'!$E$875-J35</f>
        <v>17941</v>
      </c>
      <c r="L35" s="690">
        <f t="shared" si="2"/>
        <v>17941</v>
      </c>
      <c r="Q35" s="673">
        <f t="shared" si="1"/>
        <v>35882</v>
      </c>
      <c r="R35" s="679">
        <f t="shared" si="3"/>
        <v>-17941</v>
      </c>
      <c r="S35" s="714">
        <f>R35/L35</f>
        <v>-1</v>
      </c>
      <c r="T35" t="s">
        <v>134</v>
      </c>
    </row>
    <row r="36" spans="2:19" ht="12.75">
      <c r="B36" s="679"/>
      <c r="C36" s="676"/>
      <c r="D36" s="677"/>
      <c r="E36" s="677"/>
      <c r="F36" s="690">
        <f t="shared" si="4"/>
        <v>0</v>
      </c>
      <c r="G36" s="691"/>
      <c r="H36" s="691"/>
      <c r="I36" s="692"/>
      <c r="J36" s="701"/>
      <c r="L36" s="690">
        <f t="shared" si="2"/>
        <v>0</v>
      </c>
      <c r="Q36" s="673">
        <f t="shared" si="1"/>
        <v>0</v>
      </c>
      <c r="R36" s="679">
        <f t="shared" si="3"/>
        <v>0</v>
      </c>
      <c r="S36" s="714"/>
    </row>
    <row r="37" spans="1:19" ht="12.75">
      <c r="A37" t="s">
        <v>334</v>
      </c>
      <c r="B37" s="679" t="s">
        <v>176</v>
      </c>
      <c r="C37" s="676"/>
      <c r="D37" s="677">
        <v>0</v>
      </c>
      <c r="E37" s="677">
        <v>700</v>
      </c>
      <c r="F37" s="690">
        <f t="shared" si="4"/>
        <v>700</v>
      </c>
      <c r="G37" s="691"/>
      <c r="H37" s="691"/>
      <c r="I37" s="692"/>
      <c r="J37" s="701">
        <v>0</v>
      </c>
      <c r="K37" s="699">
        <f>+'[6]TB09-30-02(Final)'!$E$708-J37</f>
        <v>1300</v>
      </c>
      <c r="L37" s="690">
        <f t="shared" si="2"/>
        <v>1300</v>
      </c>
      <c r="Q37" s="673">
        <f t="shared" si="1"/>
        <v>2600</v>
      </c>
      <c r="R37" s="679">
        <f t="shared" si="3"/>
        <v>-600</v>
      </c>
      <c r="S37" s="714">
        <f>R37/L37</f>
        <v>-0.46153846153846156</v>
      </c>
    </row>
    <row r="38" spans="2:19" ht="12.75">
      <c r="B38" s="679"/>
      <c r="C38" s="676"/>
      <c r="D38" s="677"/>
      <c r="E38" s="677"/>
      <c r="F38" s="690">
        <f t="shared" si="4"/>
        <v>0</v>
      </c>
      <c r="G38" s="691"/>
      <c r="H38" s="691"/>
      <c r="I38" s="692"/>
      <c r="J38" s="701"/>
      <c r="L38" s="690">
        <f t="shared" si="2"/>
        <v>0</v>
      </c>
      <c r="Q38" s="673">
        <f t="shared" si="1"/>
        <v>0</v>
      </c>
      <c r="R38" s="679">
        <f t="shared" si="3"/>
        <v>0</v>
      </c>
      <c r="S38" s="714"/>
    </row>
    <row r="39" spans="1:19" ht="12.75">
      <c r="A39" t="s">
        <v>335</v>
      </c>
      <c r="B39" s="679" t="s">
        <v>177</v>
      </c>
      <c r="C39" s="676">
        <v>1427.25</v>
      </c>
      <c r="D39" s="677">
        <f>+'[1]TB03-31-04(Final)'!Z955</f>
        <v>458.98</v>
      </c>
      <c r="E39" s="677">
        <f>+'[1]TB03-31-04(Final)'!Z958</f>
        <v>1732.87</v>
      </c>
      <c r="F39" s="690">
        <f t="shared" si="4"/>
        <v>2191.85</v>
      </c>
      <c r="G39" s="691"/>
      <c r="H39" s="691"/>
      <c r="I39" s="692"/>
      <c r="J39" s="701">
        <v>330.55</v>
      </c>
      <c r="K39" s="699">
        <f>SUM('[6]TB09-30-02(Final)'!$E$867)-J39</f>
        <v>3342.7299999999996</v>
      </c>
      <c r="L39" s="690">
        <f t="shared" si="2"/>
        <v>3673.2799999999997</v>
      </c>
      <c r="Q39" s="673">
        <f t="shared" si="1"/>
        <v>7346.5599999999995</v>
      </c>
      <c r="R39" s="679">
        <f t="shared" si="3"/>
        <v>-1481.4299999999998</v>
      </c>
      <c r="S39" s="714">
        <f>R39/L39</f>
        <v>-0.4032989589685512</v>
      </c>
    </row>
    <row r="40" spans="2:19" ht="12.75">
      <c r="B40" s="679"/>
      <c r="C40" s="676"/>
      <c r="D40" s="677"/>
      <c r="E40" s="677"/>
      <c r="F40" s="690">
        <f t="shared" si="4"/>
        <v>0</v>
      </c>
      <c r="G40" s="691"/>
      <c r="H40" s="691"/>
      <c r="I40" s="692"/>
      <c r="J40" s="701"/>
      <c r="L40" s="690">
        <f t="shared" si="2"/>
        <v>0</v>
      </c>
      <c r="Q40" s="673">
        <f t="shared" si="1"/>
        <v>0</v>
      </c>
      <c r="R40" s="679">
        <f t="shared" si="3"/>
        <v>0</v>
      </c>
      <c r="S40" s="714"/>
    </row>
    <row r="41" spans="1:19" ht="12.75">
      <c r="A41" t="s">
        <v>336</v>
      </c>
      <c r="B41" s="679" t="s">
        <v>178</v>
      </c>
      <c r="C41" s="676">
        <f>8755.56+916.17+869.2</f>
        <v>10540.93</v>
      </c>
      <c r="D41" s="677">
        <f>+'[1]TB03-31-04(Final)'!Z885+'[1]TB03-31-04(Final)'!Z893+'[1]TB03-31-04(Final)'!Z916</f>
        <v>10203.87</v>
      </c>
      <c r="E41" s="677">
        <f>+'[1]TB03-31-04(Final)'!Z896+'[1]TB03-31-04(Final)'!Z918-D41</f>
        <v>80439.4</v>
      </c>
      <c r="F41" s="690">
        <f t="shared" si="4"/>
        <v>90643.26999999999</v>
      </c>
      <c r="G41" s="691"/>
      <c r="H41" s="691"/>
      <c r="I41" s="692"/>
      <c r="J41" s="701">
        <f>8555.67+1016.99+833.91</f>
        <v>10406.57</v>
      </c>
      <c r="K41" s="699">
        <f>SUM('[6]TB09-30-02(Final)'!$E$798:$E$806)+'[6]TB09-30-02(Final)'!$E$828-J41</f>
        <v>82521.57999999999</v>
      </c>
      <c r="L41" s="690">
        <f t="shared" si="2"/>
        <v>92928.15</v>
      </c>
      <c r="Q41" s="673">
        <f t="shared" si="1"/>
        <v>185856.3</v>
      </c>
      <c r="R41" s="679">
        <f t="shared" si="3"/>
        <v>-2284.8800000000047</v>
      </c>
      <c r="S41" s="714">
        <f>R41/L41</f>
        <v>-0.024587598052904367</v>
      </c>
    </row>
    <row r="42" spans="2:19" ht="12.75">
      <c r="B42" s="679"/>
      <c r="C42" s="676"/>
      <c r="D42" s="677"/>
      <c r="E42" s="677"/>
      <c r="F42" s="690">
        <f t="shared" si="4"/>
        <v>0</v>
      </c>
      <c r="G42" s="691"/>
      <c r="H42" s="691"/>
      <c r="I42" s="692"/>
      <c r="J42" s="701"/>
      <c r="L42" s="690">
        <f t="shared" si="2"/>
        <v>0</v>
      </c>
      <c r="Q42" s="673">
        <f t="shared" si="1"/>
        <v>0</v>
      </c>
      <c r="R42" s="679">
        <f t="shared" si="3"/>
        <v>0</v>
      </c>
      <c r="S42" s="714"/>
    </row>
    <row r="43" spans="1:19" ht="12.75">
      <c r="A43" t="s">
        <v>337</v>
      </c>
      <c r="B43" s="679" t="s">
        <v>187</v>
      </c>
      <c r="C43" s="676">
        <v>1404</v>
      </c>
      <c r="D43" s="677">
        <f>+'[1]TB03-31-04(Final)'!Z879</f>
        <v>1666.56</v>
      </c>
      <c r="E43" s="677">
        <f>+'[1]TB03-31-04(Final)'!Z880-D43</f>
        <v>13585.060000000001</v>
      </c>
      <c r="F43" s="690">
        <f t="shared" si="4"/>
        <v>15251.62</v>
      </c>
      <c r="G43" s="691"/>
      <c r="H43" s="691"/>
      <c r="I43" s="692"/>
      <c r="J43" s="701">
        <v>1418.66</v>
      </c>
      <c r="K43" s="699">
        <f>SUM('[6]TB09-30-02(Final)'!$E$782)+'[6]TB09-30-02(Final)'!$D$789-J43</f>
        <v>11079.07</v>
      </c>
      <c r="L43" s="690">
        <f t="shared" si="2"/>
        <v>12497.73</v>
      </c>
      <c r="Q43" s="673">
        <f t="shared" si="1"/>
        <v>24995.46</v>
      </c>
      <c r="R43" s="679">
        <f t="shared" si="3"/>
        <v>2753.8900000000012</v>
      </c>
      <c r="S43" s="714">
        <f>R43/L43</f>
        <v>0.2203512157807859</v>
      </c>
    </row>
    <row r="44" spans="2:19" ht="12.75">
      <c r="B44" s="679"/>
      <c r="C44" s="676"/>
      <c r="D44" s="677"/>
      <c r="E44" s="677"/>
      <c r="F44" s="690">
        <f t="shared" si="4"/>
        <v>0</v>
      </c>
      <c r="G44" s="691"/>
      <c r="H44" s="691"/>
      <c r="I44" s="692"/>
      <c r="J44" s="701"/>
      <c r="L44" s="690">
        <f t="shared" si="2"/>
        <v>0</v>
      </c>
      <c r="Q44" s="673">
        <f t="shared" si="1"/>
        <v>0</v>
      </c>
      <c r="R44" s="679">
        <f t="shared" si="3"/>
        <v>0</v>
      </c>
      <c r="S44" s="714"/>
    </row>
    <row r="45" spans="1:19" ht="12.75">
      <c r="A45" t="s">
        <v>338</v>
      </c>
      <c r="B45" s="679" t="s">
        <v>25</v>
      </c>
      <c r="C45" s="676">
        <f>1424.49+806+206</f>
        <v>2436.49</v>
      </c>
      <c r="D45" s="677">
        <f>SUM(B46:B48)</f>
        <v>2435.74</v>
      </c>
      <c r="E45" s="677">
        <f>+'[1]TB03-31-04(Final)'!Z863-D45</f>
        <v>19064.65</v>
      </c>
      <c r="F45" s="690">
        <f t="shared" si="4"/>
        <v>21500.39</v>
      </c>
      <c r="G45" s="691"/>
      <c r="H45" s="691"/>
      <c r="I45" s="692"/>
      <c r="J45" s="701">
        <f>1843.4+1541.91+236.81</f>
        <v>3622.1200000000003</v>
      </c>
      <c r="K45" s="699">
        <f>SUM('[6]TB09-30-02(Final)'!$E$742:$E$773)-J45</f>
        <v>25378.04</v>
      </c>
      <c r="L45" s="690">
        <f t="shared" si="2"/>
        <v>29000.16</v>
      </c>
      <c r="Q45" s="673">
        <f t="shared" si="1"/>
        <v>58000.32</v>
      </c>
      <c r="R45" s="679">
        <f t="shared" si="3"/>
        <v>-7499.77</v>
      </c>
      <c r="S45" s="714">
        <f>R45/L45</f>
        <v>-0.2586113317995487</v>
      </c>
    </row>
    <row r="46" spans="2:19" ht="12.75" hidden="1">
      <c r="B46" s="679">
        <v>1424.49</v>
      </c>
      <c r="C46" s="676"/>
      <c r="D46" s="677"/>
      <c r="E46" s="677"/>
      <c r="F46" s="690">
        <f t="shared" si="4"/>
        <v>0</v>
      </c>
      <c r="G46" s="691"/>
      <c r="H46" s="691"/>
      <c r="I46" s="692"/>
      <c r="J46" s="701"/>
      <c r="L46" s="690">
        <f t="shared" si="2"/>
        <v>0</v>
      </c>
      <c r="Q46" s="673">
        <f t="shared" si="1"/>
        <v>0</v>
      </c>
      <c r="R46" s="679">
        <f t="shared" si="3"/>
        <v>0</v>
      </c>
      <c r="S46" s="714" t="e">
        <f>R46/L46</f>
        <v>#DIV/0!</v>
      </c>
    </row>
    <row r="47" spans="2:19" ht="12.75" hidden="1">
      <c r="B47" s="679">
        <v>805.55</v>
      </c>
      <c r="C47" s="676"/>
      <c r="D47" s="677"/>
      <c r="E47" s="677"/>
      <c r="F47" s="690"/>
      <c r="G47" s="691"/>
      <c r="H47" s="691"/>
      <c r="I47" s="692"/>
      <c r="J47" s="701"/>
      <c r="L47" s="690">
        <f t="shared" si="2"/>
        <v>0</v>
      </c>
      <c r="Q47" s="673">
        <f t="shared" si="1"/>
        <v>0</v>
      </c>
      <c r="R47" s="679">
        <f t="shared" si="3"/>
        <v>0</v>
      </c>
      <c r="S47" s="714" t="e">
        <f>R47/L47</f>
        <v>#DIV/0!</v>
      </c>
    </row>
    <row r="48" spans="2:19" ht="12.75" hidden="1">
      <c r="B48" s="679">
        <v>205.7</v>
      </c>
      <c r="C48" s="676"/>
      <c r="D48" s="677"/>
      <c r="E48" s="677"/>
      <c r="F48" s="690"/>
      <c r="G48" s="691"/>
      <c r="H48" s="691"/>
      <c r="I48" s="692"/>
      <c r="J48" s="701"/>
      <c r="L48" s="690">
        <f t="shared" si="2"/>
        <v>0</v>
      </c>
      <c r="Q48" s="673">
        <f t="shared" si="1"/>
        <v>0</v>
      </c>
      <c r="R48" s="679">
        <f t="shared" si="3"/>
        <v>0</v>
      </c>
      <c r="S48" s="714" t="e">
        <f>R48/L48</f>
        <v>#DIV/0!</v>
      </c>
    </row>
    <row r="49" spans="2:19" ht="12.75">
      <c r="B49" s="679"/>
      <c r="C49" s="676"/>
      <c r="D49" s="677"/>
      <c r="E49" s="677"/>
      <c r="F49" s="690"/>
      <c r="G49" s="691"/>
      <c r="H49" s="691"/>
      <c r="I49" s="692"/>
      <c r="J49" s="701"/>
      <c r="L49" s="690">
        <f t="shared" si="2"/>
        <v>0</v>
      </c>
      <c r="Q49" s="673">
        <f t="shared" si="1"/>
        <v>0</v>
      </c>
      <c r="R49" s="679">
        <f t="shared" si="3"/>
        <v>0</v>
      </c>
      <c r="S49" s="714"/>
    </row>
    <row r="50" spans="1:19" ht="12.75">
      <c r="A50" t="s">
        <v>339</v>
      </c>
      <c r="B50" s="679" t="s">
        <v>189</v>
      </c>
      <c r="C50" s="676">
        <f>801.69+675.35</f>
        <v>1477.04</v>
      </c>
      <c r="D50" s="677">
        <f>+'[1]TB03-31-04(Final)'!Z941</f>
        <v>2273.06</v>
      </c>
      <c r="E50" s="677">
        <f>+'[1]TB03-31-04(Final)'!Z942-D50</f>
        <v>23542.219999999998</v>
      </c>
      <c r="F50" s="690">
        <f>SUM(D50:E50)</f>
        <v>25815.28</v>
      </c>
      <c r="G50" s="691"/>
      <c r="H50" s="691"/>
      <c r="I50" s="692"/>
      <c r="J50" s="701">
        <f>263.34+1215.67+5.48</f>
        <v>1484.49</v>
      </c>
      <c r="K50" s="699">
        <f>SUM('[6]TB09-30-02(Final)'!$E$829:$E$860)-J50</f>
        <v>25704.69</v>
      </c>
      <c r="L50" s="690">
        <f t="shared" si="2"/>
        <v>27189.18</v>
      </c>
      <c r="Q50" s="673">
        <f t="shared" si="1"/>
        <v>54378.36</v>
      </c>
      <c r="R50" s="679">
        <f t="shared" si="3"/>
        <v>-1373.9000000000015</v>
      </c>
      <c r="S50" s="714">
        <f>R50/L50</f>
        <v>-0.05053113039819522</v>
      </c>
    </row>
    <row r="51" spans="2:19" ht="12.75">
      <c r="B51" s="679"/>
      <c r="C51" s="676"/>
      <c r="D51" s="677"/>
      <c r="E51" s="677"/>
      <c r="F51" s="690"/>
      <c r="G51" s="691"/>
      <c r="H51" s="691"/>
      <c r="I51" s="692"/>
      <c r="J51" s="701"/>
      <c r="L51" s="690">
        <f t="shared" si="2"/>
        <v>0</v>
      </c>
      <c r="Q51" s="673">
        <f t="shared" si="1"/>
        <v>0</v>
      </c>
      <c r="R51" s="679">
        <f t="shared" si="3"/>
        <v>0</v>
      </c>
      <c r="S51" s="714"/>
    </row>
    <row r="52" spans="1:19" ht="12.75">
      <c r="A52" t="s">
        <v>340</v>
      </c>
      <c r="B52" s="679" t="s">
        <v>179</v>
      </c>
      <c r="C52" s="676">
        <f>4337.84+1156.22</f>
        <v>5494.06</v>
      </c>
      <c r="D52" s="677">
        <f>+'[1]TB03-31-04(Final)'!Z911</f>
        <v>4994.889999999999</v>
      </c>
      <c r="E52" s="677">
        <f>+'[1]TB03-31-04(Final)'!Z912-D52</f>
        <v>35138.3</v>
      </c>
      <c r="F52" s="690">
        <f>SUM(D52:E52)</f>
        <v>40133.19</v>
      </c>
      <c r="G52" s="691"/>
      <c r="H52" s="691"/>
      <c r="I52" s="692"/>
      <c r="J52" s="701">
        <f>3829.73+1090.47</f>
        <v>4920.2</v>
      </c>
      <c r="K52" s="699">
        <f>SUM('[6]TB09-30-02(Final)'!$E$814:$E$823)-J52</f>
        <v>42403.07000000001</v>
      </c>
      <c r="L52" s="690">
        <f t="shared" si="2"/>
        <v>47323.270000000004</v>
      </c>
      <c r="Q52" s="673">
        <f t="shared" si="1"/>
        <v>94646.54000000001</v>
      </c>
      <c r="R52" s="679">
        <f t="shared" si="3"/>
        <v>-7190.080000000002</v>
      </c>
      <c r="S52" s="714">
        <f>R52/L52</f>
        <v>-0.15193540091375768</v>
      </c>
    </row>
    <row r="53" spans="2:19" ht="12.75">
      <c r="B53" s="679"/>
      <c r="C53" s="676"/>
      <c r="D53" s="677"/>
      <c r="E53" s="677"/>
      <c r="F53" s="690"/>
      <c r="G53" s="691"/>
      <c r="H53" s="691"/>
      <c r="I53" s="692"/>
      <c r="J53" s="701"/>
      <c r="L53" s="690">
        <f t="shared" si="2"/>
        <v>0</v>
      </c>
      <c r="Q53" s="673">
        <f t="shared" si="1"/>
        <v>0</v>
      </c>
      <c r="R53" s="679">
        <f t="shared" si="3"/>
        <v>0</v>
      </c>
      <c r="S53" s="714"/>
    </row>
    <row r="54" spans="1:20" ht="12.75">
      <c r="A54" t="s">
        <v>106</v>
      </c>
      <c r="B54" s="679" t="s">
        <v>27</v>
      </c>
      <c r="C54" s="676">
        <v>767.76</v>
      </c>
      <c r="D54" s="677">
        <f>+'[1]TB03-31-04(Final)'!Z781</f>
        <v>399.46</v>
      </c>
      <c r="E54" s="677">
        <f>+'[1]TB03-31-04(Final)'!Z784-D54</f>
        <v>17859.89</v>
      </c>
      <c r="F54" s="690">
        <f>SUM(D54:E54)</f>
        <v>18259.35</v>
      </c>
      <c r="G54" s="691"/>
      <c r="H54" s="691"/>
      <c r="I54" s="692"/>
      <c r="J54" s="701">
        <f>936.75+468.71+149.88</f>
        <v>1555.3400000000001</v>
      </c>
      <c r="K54" s="699">
        <f>SUM('[6]TB09-30-02(Final)'!$E$686:$E$703)-J54</f>
        <v>10897.34</v>
      </c>
      <c r="L54" s="690">
        <f t="shared" si="2"/>
        <v>12452.68</v>
      </c>
      <c r="Q54" s="673">
        <f t="shared" si="1"/>
        <v>24905.36</v>
      </c>
      <c r="R54" s="679">
        <f t="shared" si="3"/>
        <v>5806.669999999998</v>
      </c>
      <c r="S54" s="714">
        <f>R54/L54</f>
        <v>0.4662988208160812</v>
      </c>
      <c r="T54" t="s">
        <v>135</v>
      </c>
    </row>
    <row r="55" spans="2:19" ht="12.75">
      <c r="B55" s="663"/>
      <c r="C55" s="676"/>
      <c r="D55" s="664"/>
      <c r="E55" s="664"/>
      <c r="G55" s="664"/>
      <c r="H55" s="664"/>
      <c r="I55" s="360"/>
      <c r="R55" s="700"/>
      <c r="S55" s="719"/>
    </row>
    <row r="56" spans="2:19" ht="12.75">
      <c r="B56" s="663"/>
      <c r="C56" s="676"/>
      <c r="D56" s="664"/>
      <c r="E56" s="664"/>
      <c r="F56" s="672"/>
      <c r="G56" s="668"/>
      <c r="H56" s="668"/>
      <c r="I56" s="696"/>
      <c r="J56" s="726"/>
      <c r="K56" s="702"/>
      <c r="L56" s="759"/>
      <c r="M56" s="698"/>
      <c r="N56" s="698"/>
      <c r="O56" s="698"/>
      <c r="P56" s="698"/>
      <c r="Q56" s="698"/>
      <c r="R56" s="759"/>
      <c r="S56" s="720"/>
    </row>
    <row r="57" spans="2:19" ht="12.75">
      <c r="B57" s="59" t="s">
        <v>129</v>
      </c>
      <c r="C57" s="669"/>
      <c r="D57" s="668"/>
      <c r="E57" s="668"/>
      <c r="F57" s="711">
        <f>SUM(F15:F56)</f>
        <v>1672692.2500000002</v>
      </c>
      <c r="G57" s="757"/>
      <c r="H57" s="757"/>
      <c r="I57" s="757"/>
      <c r="J57" s="703"/>
      <c r="K57" s="758"/>
      <c r="L57" s="711">
        <f>SUM(L15:L56)</f>
        <v>1357795.3799999997</v>
      </c>
      <c r="M57" s="757"/>
      <c r="N57" s="757"/>
      <c r="O57" s="757"/>
      <c r="P57" s="757"/>
      <c r="Q57" s="757"/>
      <c r="R57" s="711">
        <f>+F57-L57</f>
        <v>314896.8700000006</v>
      </c>
      <c r="S57" s="714">
        <f>R57/L57</f>
        <v>0.23191776510537299</v>
      </c>
    </row>
    <row r="58" spans="1:19" s="661" customFormat="1" ht="12.75">
      <c r="A58" s="749" t="s">
        <v>107</v>
      </c>
      <c r="B58" s="750" t="s">
        <v>117</v>
      </c>
      <c r="C58" s="751">
        <f>SUM(C25:C57)</f>
        <v>108411.12999999999</v>
      </c>
      <c r="D58" s="751">
        <f>SUM(D11:D57)-1</f>
        <v>4566841.06</v>
      </c>
      <c r="E58" s="751">
        <f>SUM(E11:E54)</f>
        <v>1544594.02</v>
      </c>
      <c r="F58" s="751">
        <f>SUM(F11:F55)</f>
        <v>6111436.079999999</v>
      </c>
      <c r="G58" s="752"/>
      <c r="H58" s="752"/>
      <c r="I58" s="753"/>
      <c r="J58" s="754">
        <f>SUM(J11:J57)</f>
        <v>4077227.4899999998</v>
      </c>
      <c r="K58" s="755">
        <f>SUM(K10:K57)</f>
        <v>1257968.2800000003</v>
      </c>
      <c r="L58" s="751">
        <f>SUM(L10:L55)</f>
        <v>5335195.77</v>
      </c>
      <c r="M58" s="749"/>
      <c r="N58" s="749"/>
      <c r="O58" s="749"/>
      <c r="P58" s="749"/>
      <c r="Q58" s="749"/>
      <c r="R58" s="751">
        <f>+F58-L58</f>
        <v>776240.3099999996</v>
      </c>
      <c r="S58" s="756">
        <f>R58/L58</f>
        <v>0.14549425053244103</v>
      </c>
    </row>
    <row r="59" spans="1:20" ht="12.75">
      <c r="A59" t="s">
        <v>108</v>
      </c>
      <c r="B59" s="679" t="s">
        <v>180</v>
      </c>
      <c r="C59" s="677"/>
      <c r="D59" s="690"/>
      <c r="E59" s="690">
        <f>+'[1]TB03-31-04(Final)'!E644</f>
        <v>22313.94</v>
      </c>
      <c r="F59" s="690">
        <f>SUM(D59:E59)</f>
        <v>22313.94</v>
      </c>
      <c r="G59" s="691"/>
      <c r="H59" s="691"/>
      <c r="I59" s="692"/>
      <c r="K59" s="699">
        <f>SUM('[6]TB09-30-02(Final)'!$E$562)-J59</f>
        <v>11580</v>
      </c>
      <c r="L59" s="690">
        <f>SUM(J59:K59)</f>
        <v>11580</v>
      </c>
      <c r="R59" s="679">
        <f t="shared" si="3"/>
        <v>10733.939999999999</v>
      </c>
      <c r="S59" s="714">
        <f>R59/L59</f>
        <v>0.9269378238341968</v>
      </c>
      <c r="T59" t="s">
        <v>132</v>
      </c>
    </row>
    <row r="60" spans="2:19" ht="12.75">
      <c r="B60" s="662"/>
      <c r="C60" s="677"/>
      <c r="D60" s="691"/>
      <c r="E60" s="691"/>
      <c r="F60" s="693"/>
      <c r="G60" s="691"/>
      <c r="H60" s="691"/>
      <c r="I60" s="692"/>
      <c r="J60" s="699" t="s">
        <v>93</v>
      </c>
      <c r="L60" s="721"/>
      <c r="R60" s="670">
        <f t="shared" si="3"/>
        <v>0</v>
      </c>
      <c r="S60" s="717"/>
    </row>
    <row r="61" spans="1:19" ht="12.75">
      <c r="A61" t="s">
        <v>109</v>
      </c>
      <c r="B61" s="59" t="s">
        <v>181</v>
      </c>
      <c r="C61" s="680"/>
      <c r="D61" s="691"/>
      <c r="E61" s="691"/>
      <c r="F61" s="721"/>
      <c r="G61" s="722"/>
      <c r="H61" s="722"/>
      <c r="I61" s="723"/>
      <c r="L61" s="721"/>
      <c r="R61" s="670">
        <f t="shared" si="3"/>
        <v>0</v>
      </c>
      <c r="S61" s="717"/>
    </row>
    <row r="62" spans="2:19" ht="12.75">
      <c r="B62" s="677" t="s">
        <v>182</v>
      </c>
      <c r="C62" s="677"/>
      <c r="D62" s="692">
        <f>+'[1]TB03-31-04(Final)'!Z790</f>
        <v>289.58</v>
      </c>
      <c r="E62" s="693">
        <v>0</v>
      </c>
      <c r="F62" s="721">
        <f>SUM(D62:E62)</f>
        <v>289.58</v>
      </c>
      <c r="G62" s="722"/>
      <c r="H62" s="722"/>
      <c r="I62" s="723"/>
      <c r="L62" s="721"/>
      <c r="R62" s="670">
        <f t="shared" si="3"/>
        <v>289.58</v>
      </c>
      <c r="S62" s="717"/>
    </row>
    <row r="63" spans="2:19" ht="12.75">
      <c r="B63" s="677" t="s">
        <v>183</v>
      </c>
      <c r="C63" s="677"/>
      <c r="D63" s="692" t="e">
        <f>+'[1]TB03-31-04(Final)'!D991</f>
        <v>#REF!</v>
      </c>
      <c r="E63" s="692">
        <f>+'[1]TB03-31-04(Final)'!E994</f>
        <v>0</v>
      </c>
      <c r="F63" s="721" t="e">
        <f>SUM(D63:E63)</f>
        <v>#REF!</v>
      </c>
      <c r="G63" s="722"/>
      <c r="H63" s="722"/>
      <c r="I63" s="723"/>
      <c r="L63" s="721"/>
      <c r="R63" s="670" t="e">
        <f t="shared" si="3"/>
        <v>#REF!</v>
      </c>
      <c r="S63" s="717"/>
    </row>
    <row r="64" spans="2:20" ht="12.75">
      <c r="B64" s="677" t="s">
        <v>188</v>
      </c>
      <c r="C64" s="678">
        <f>209.55+403.86+1554.27</f>
        <v>2167.6800000000003</v>
      </c>
      <c r="D64" s="690">
        <f>+'[1]TB03-31-04(Final)'!Z830</f>
        <v>6929.51</v>
      </c>
      <c r="E64" s="690">
        <f>+'[1]TB03-31-04(Final)'!Z831-D64</f>
        <v>20592.989999999998</v>
      </c>
      <c r="F64" s="690">
        <f>SUM(D64:E64)</f>
        <v>27522.5</v>
      </c>
      <c r="G64" s="691"/>
      <c r="H64" s="691"/>
      <c r="I64" s="692"/>
      <c r="J64" s="699">
        <f>-475.32+120-425.35</f>
        <v>-780.6700000000001</v>
      </c>
      <c r="K64" s="699">
        <f>SUM('[6]TB09-30-02(Final)'!$E$710:$E$741)-J64</f>
        <v>1693.6599999999994</v>
      </c>
      <c r="L64" s="690">
        <f>SUM(J64:K64)</f>
        <v>912.9899999999993</v>
      </c>
      <c r="R64" s="679">
        <f t="shared" si="3"/>
        <v>26609.510000000002</v>
      </c>
      <c r="S64" s="714">
        <f>R64/L64</f>
        <v>29.145456138621476</v>
      </c>
      <c r="T64" t="s">
        <v>131</v>
      </c>
    </row>
    <row r="65" spans="2:19" ht="12.75">
      <c r="B65" s="677" t="s">
        <v>236</v>
      </c>
      <c r="C65" s="681">
        <f>712.12-2.22-102</f>
        <v>607.9</v>
      </c>
      <c r="D65" s="694">
        <f>+'[1]TB03-31-04(Final)'!Z1001-102</f>
        <v>700.17</v>
      </c>
      <c r="E65" s="694">
        <f>+'[1]TB03-31-04(Final)'!Z1003+102</f>
        <v>13523.92</v>
      </c>
      <c r="F65" s="694">
        <f>SUM(D65:E65)</f>
        <v>14224.09</v>
      </c>
      <c r="G65" s="691"/>
      <c r="H65" s="691"/>
      <c r="I65" s="692"/>
      <c r="J65" s="702">
        <f>913.62+176.46+56.22</f>
        <v>1146.3</v>
      </c>
      <c r="K65" s="702">
        <f>(7314.87-2304.97)-J65</f>
        <v>3863.5999999999995</v>
      </c>
      <c r="L65" s="694">
        <f>SUM(J65:K65)</f>
        <v>5009.9</v>
      </c>
      <c r="R65" s="686">
        <f t="shared" si="3"/>
        <v>9214.19</v>
      </c>
      <c r="S65" s="718">
        <f>R65/L65</f>
        <v>1.839196391145532</v>
      </c>
    </row>
    <row r="66" spans="2:19" ht="13.5" thickBot="1">
      <c r="B66" s="59" t="s">
        <v>126</v>
      </c>
      <c r="C66" s="735"/>
      <c r="D66" s="679"/>
      <c r="E66" s="679"/>
      <c r="F66" s="736">
        <f>+F57+F59+F64+F65</f>
        <v>1736752.7800000003</v>
      </c>
      <c r="G66" s="737"/>
      <c r="H66" s="737"/>
      <c r="I66" s="738"/>
      <c r="J66" s="739"/>
      <c r="K66" s="739"/>
      <c r="L66" s="736">
        <f>+L57+L59+L64+L65</f>
        <v>1375298.2699999996</v>
      </c>
      <c r="M66" s="728"/>
      <c r="N66" s="728"/>
      <c r="O66" s="728"/>
      <c r="P66" s="728"/>
      <c r="Q66" s="728"/>
      <c r="R66" s="729"/>
      <c r="S66" s="730"/>
    </row>
    <row r="67" spans="2:19" ht="13.5" thickTop="1">
      <c r="B67" s="74" t="s">
        <v>128</v>
      </c>
      <c r="C67" s="697"/>
      <c r="D67" s="690"/>
      <c r="E67" s="690"/>
      <c r="F67" s="690">
        <v>-111187.2</v>
      </c>
      <c r="G67" s="731"/>
      <c r="H67" s="731"/>
      <c r="I67" s="732"/>
      <c r="J67" s="704"/>
      <c r="K67" s="704"/>
      <c r="L67" s="690">
        <v>-100193</v>
      </c>
      <c r="M67" s="733"/>
      <c r="N67" s="733"/>
      <c r="O67" s="733"/>
      <c r="P67" s="733"/>
      <c r="Q67" s="733"/>
      <c r="R67" s="709"/>
      <c r="S67" s="734"/>
    </row>
    <row r="68" spans="2:19" s="740" customFormat="1" ht="13.5" thickBot="1">
      <c r="B68" s="59" t="s">
        <v>127</v>
      </c>
      <c r="C68" s="735"/>
      <c r="D68" s="679"/>
      <c r="E68" s="679"/>
      <c r="F68" s="745">
        <f>+F66+F67</f>
        <v>1625565.5800000003</v>
      </c>
      <c r="G68" s="746"/>
      <c r="H68" s="746"/>
      <c r="I68" s="746"/>
      <c r="J68" s="747"/>
      <c r="K68" s="747"/>
      <c r="L68" s="745">
        <f>+L66+L67</f>
        <v>1275105.2699999996</v>
      </c>
      <c r="M68" s="741"/>
      <c r="N68" s="741"/>
      <c r="O68" s="741"/>
      <c r="P68" s="741"/>
      <c r="Q68" s="741"/>
      <c r="R68" s="745">
        <f>+F68-L68</f>
        <v>350460.31000000075</v>
      </c>
      <c r="S68" s="748">
        <f>R68/L68</f>
        <v>0.2748481386168225</v>
      </c>
    </row>
    <row r="69" spans="2:19" s="740" customFormat="1" ht="12.75">
      <c r="B69" s="59"/>
      <c r="C69" s="735"/>
      <c r="D69" s="679"/>
      <c r="E69" s="679"/>
      <c r="F69" s="742"/>
      <c r="G69" s="743"/>
      <c r="H69" s="743"/>
      <c r="I69" s="743"/>
      <c r="J69" s="744"/>
      <c r="K69" s="744"/>
      <c r="L69" s="742"/>
      <c r="M69" s="741"/>
      <c r="N69" s="741"/>
      <c r="O69" s="741"/>
      <c r="P69" s="741"/>
      <c r="Q69" s="741"/>
      <c r="R69" s="709"/>
      <c r="S69" s="734"/>
    </row>
    <row r="70" spans="1:19" s="661" customFormat="1" ht="12.75">
      <c r="A70" s="661" t="s">
        <v>110</v>
      </c>
      <c r="B70" s="59" t="s">
        <v>184</v>
      </c>
      <c r="C70" s="679">
        <f>+C58+C64+C65</f>
        <v>111186.70999999999</v>
      </c>
      <c r="D70" s="667" t="e">
        <f>SUM(D58:D65)+1</f>
        <v>#REF!</v>
      </c>
      <c r="E70" s="667">
        <f>SUM(E58:E65)</f>
        <v>1601024.8699999999</v>
      </c>
      <c r="F70" s="667" t="e">
        <f>SUM(F58:F65)</f>
        <v>#REF!</v>
      </c>
      <c r="G70" s="665"/>
      <c r="H70" s="665"/>
      <c r="I70" s="695"/>
      <c r="J70" s="705">
        <f>SUM(J58:J65)</f>
        <v>4077593.1199999996</v>
      </c>
      <c r="K70" s="703">
        <f>SUM(K58:K65)</f>
        <v>1275105.5400000003</v>
      </c>
      <c r="L70" s="667">
        <f>SUM(L58:L65)</f>
        <v>5352698.66</v>
      </c>
      <c r="S70" s="716"/>
    </row>
    <row r="71" spans="2:18" ht="12.75">
      <c r="B71" s="685" t="s">
        <v>29</v>
      </c>
      <c r="C71" s="364">
        <v>111187</v>
      </c>
      <c r="D71" s="686">
        <v>3400757</v>
      </c>
      <c r="E71" s="686">
        <v>1600894</v>
      </c>
      <c r="F71" s="686">
        <v>5001652</v>
      </c>
      <c r="G71" s="668"/>
      <c r="H71" s="668"/>
      <c r="I71" s="696"/>
      <c r="J71" s="704">
        <v>4077593</v>
      </c>
      <c r="K71" s="699">
        <f>1263526+11580</f>
        <v>1275106</v>
      </c>
      <c r="L71" s="686">
        <f>SUM(J71:K71)</f>
        <v>5352699</v>
      </c>
      <c r="R71" s="712"/>
    </row>
    <row r="72" spans="2:19" ht="13.5" thickBot="1">
      <c r="B72" s="727" t="s">
        <v>31</v>
      </c>
      <c r="C72" s="364">
        <f>+C70-C71</f>
        <v>-0.2900000000081491</v>
      </c>
      <c r="D72" s="687" t="e">
        <f>+D70-D71</f>
        <v>#REF!</v>
      </c>
      <c r="E72" s="687">
        <f>+E70-E71</f>
        <v>130.86999999987893</v>
      </c>
      <c r="F72" s="687" t="e">
        <f>+F70-F71</f>
        <v>#REF!</v>
      </c>
      <c r="G72" s="664"/>
      <c r="H72" s="664"/>
      <c r="I72" s="664"/>
      <c r="J72" s="706">
        <f>+J70-J71</f>
        <v>0.11999999964609742</v>
      </c>
      <c r="K72" s="706">
        <f>+K70-K71</f>
        <v>-0.45999999972991645</v>
      </c>
      <c r="L72" s="687">
        <f>+L70-L71</f>
        <v>-0.3399999998509884</v>
      </c>
      <c r="R72" s="713"/>
      <c r="S72" s="724"/>
    </row>
    <row r="73" spans="1:18" ht="13.5" thickTop="1">
      <c r="A73" t="s">
        <v>111</v>
      </c>
      <c r="B73" s="679" t="s">
        <v>185</v>
      </c>
      <c r="D73" s="679">
        <v>0</v>
      </c>
      <c r="E73" s="679">
        <v>305438</v>
      </c>
      <c r="F73" s="679">
        <f>SUM(D73:E73)</f>
        <v>305438</v>
      </c>
      <c r="G73" s="664"/>
      <c r="H73" s="664"/>
      <c r="I73" s="664"/>
      <c r="K73" s="699">
        <v>287179</v>
      </c>
      <c r="L73" s="679">
        <f>SUM(J73:K73)</f>
        <v>287179</v>
      </c>
      <c r="R73" s="661"/>
    </row>
    <row r="74" spans="1:18" ht="12.75">
      <c r="A74" t="s">
        <v>112</v>
      </c>
      <c r="B74" s="679" t="s">
        <v>28</v>
      </c>
      <c r="C74" s="669"/>
      <c r="D74" s="686">
        <v>0</v>
      </c>
      <c r="E74" s="686">
        <v>309881</v>
      </c>
      <c r="F74" s="686">
        <f>SUM(D74:E74)</f>
        <v>309881</v>
      </c>
      <c r="G74" s="664"/>
      <c r="H74" s="664"/>
      <c r="I74" s="664"/>
      <c r="J74" s="702"/>
      <c r="K74" s="699">
        <v>453634</v>
      </c>
      <c r="L74" s="686">
        <f>SUM(J74:K74)</f>
        <v>453634</v>
      </c>
      <c r="R74" s="661"/>
    </row>
    <row r="75" spans="2:19" ht="12.75">
      <c r="B75" s="679" t="s">
        <v>30</v>
      </c>
      <c r="D75" s="360">
        <f>+D73-D74</f>
        <v>0</v>
      </c>
      <c r="E75" s="679">
        <f>-E73+E74</f>
        <v>4443</v>
      </c>
      <c r="F75" s="679">
        <f>-F73+F74</f>
        <v>4443</v>
      </c>
      <c r="G75" s="664"/>
      <c r="H75" s="664"/>
      <c r="I75" s="664"/>
      <c r="J75" s="699">
        <f>SUM(J73:J74)</f>
        <v>0</v>
      </c>
      <c r="K75" s="707">
        <f>-K73+K74</f>
        <v>166455</v>
      </c>
      <c r="L75" s="679">
        <f>SUM(J75:K75)</f>
        <v>166455</v>
      </c>
      <c r="R75" s="708"/>
      <c r="S75" s="725"/>
    </row>
    <row r="76" spans="1:19" ht="13.5" thickBot="1">
      <c r="A76" t="s">
        <v>113</v>
      </c>
      <c r="B76" s="59" t="s">
        <v>186</v>
      </c>
      <c r="C76" s="675">
        <f>+C70-C73+C74</f>
        <v>111186.70999999999</v>
      </c>
      <c r="D76" s="675" t="e">
        <f>+D70-D73+D74</f>
        <v>#REF!</v>
      </c>
      <c r="E76" s="675">
        <f>+E70-E73+E74</f>
        <v>1605467.8699999999</v>
      </c>
      <c r="F76" s="764">
        <f>+F71+F75</f>
        <v>5006095</v>
      </c>
      <c r="G76" s="765"/>
      <c r="H76" s="765"/>
      <c r="I76" s="765"/>
      <c r="J76" s="766">
        <f>+J70-J73+J74</f>
        <v>4077593.1199999996</v>
      </c>
      <c r="K76" s="766">
        <f>+K70-K73+K74</f>
        <v>1441560.5400000003</v>
      </c>
      <c r="L76" s="764">
        <f>+L70-L73+L74</f>
        <v>5519153.66</v>
      </c>
      <c r="R76" s="713"/>
      <c r="S76" s="724"/>
    </row>
    <row r="77" spans="2:18" ht="13.5" thickTop="1">
      <c r="B77" s="685"/>
      <c r="E77" s="664">
        <v>1600894</v>
      </c>
      <c r="F77" s="670" t="e">
        <f>+F70-F73+F74</f>
        <v>#REF!</v>
      </c>
      <c r="J77" s="701"/>
      <c r="K77" s="699">
        <v>1263526</v>
      </c>
      <c r="L77" s="670">
        <f>+L70-L73+L74</f>
        <v>5519153.66</v>
      </c>
      <c r="R77" s="661"/>
    </row>
    <row r="78" spans="5:12" ht="12.75">
      <c r="E78" s="689">
        <f>+E76-E77</f>
        <v>4573.869999999879</v>
      </c>
      <c r="L78" s="670"/>
    </row>
    <row r="79" spans="2:11" ht="12.75">
      <c r="B79" s="685"/>
      <c r="E79" s="360"/>
      <c r="K79" s="699">
        <f>+K75-K78</f>
        <v>166455</v>
      </c>
    </row>
    <row r="80" ht="12.75">
      <c r="E80" s="689"/>
    </row>
    <row r="81" ht="12.75">
      <c r="E81" s="360"/>
    </row>
    <row r="82" spans="2:5" ht="12.75">
      <c r="B82" s="685"/>
      <c r="E82" s="689"/>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81" customWidth="1"/>
    <col min="5" max="5" width="20.57421875" style="481" bestFit="1" customWidth="1"/>
    <col min="6" max="16384" width="15.7109375" style="14" customWidth="1"/>
  </cols>
  <sheetData>
    <row r="1" spans="1:5" s="11" customFormat="1" ht="30" customHeight="1">
      <c r="A1" s="943" t="s">
        <v>258</v>
      </c>
      <c r="B1" s="943"/>
      <c r="C1" s="943"/>
      <c r="D1" s="943"/>
      <c r="E1" s="943"/>
    </row>
    <row r="2" spans="1:5" s="11" customFormat="1" ht="15" customHeight="1">
      <c r="A2" s="965"/>
      <c r="B2" s="965"/>
      <c r="C2" s="965"/>
      <c r="D2" s="965"/>
      <c r="E2" s="965"/>
    </row>
    <row r="3" spans="1:5" s="12" customFormat="1" ht="15" customHeight="1">
      <c r="A3" s="944" t="s">
        <v>212</v>
      </c>
      <c r="B3" s="944"/>
      <c r="C3" s="944"/>
      <c r="D3" s="944"/>
      <c r="E3" s="944"/>
    </row>
    <row r="4" spans="1:5" s="12" customFormat="1" ht="15" customHeight="1">
      <c r="A4" s="945" t="s">
        <v>497</v>
      </c>
      <c r="B4" s="945"/>
      <c r="C4" s="945"/>
      <c r="D4" s="945"/>
      <c r="E4" s="945"/>
    </row>
    <row r="5" spans="1:5" s="12" customFormat="1" ht="15" customHeight="1">
      <c r="A5" s="786"/>
      <c r="B5" s="786"/>
      <c r="C5" s="786"/>
      <c r="D5" s="786"/>
      <c r="E5" s="786"/>
    </row>
    <row r="6" spans="1:5" ht="45" customHeight="1">
      <c r="A6" s="837"/>
      <c r="B6" s="836" t="s">
        <v>213</v>
      </c>
      <c r="C6" s="836" t="s">
        <v>214</v>
      </c>
      <c r="D6" s="836" t="s">
        <v>215</v>
      </c>
      <c r="E6" s="836" t="s">
        <v>216</v>
      </c>
    </row>
    <row r="7" spans="1:5" ht="15" customHeight="1">
      <c r="A7" s="838" t="s">
        <v>260</v>
      </c>
      <c r="B7" s="476"/>
      <c r="C7" s="476"/>
      <c r="D7" s="476"/>
      <c r="E7" s="476"/>
    </row>
    <row r="8" spans="1:5" ht="15" customHeight="1">
      <c r="A8" s="839" t="s">
        <v>480</v>
      </c>
      <c r="B8" s="477">
        <f>'[13]TB @ 1-25-05'!$F$17</f>
        <v>3949316.3100000005</v>
      </c>
      <c r="C8" s="484">
        <v>0</v>
      </c>
      <c r="D8" s="484">
        <v>0</v>
      </c>
      <c r="E8" s="477">
        <f>SUM(B8:D8)</f>
        <v>3949316.3100000005</v>
      </c>
    </row>
    <row r="9" spans="1:5" ht="15" customHeight="1">
      <c r="A9" s="839" t="s">
        <v>481</v>
      </c>
      <c r="B9" s="485">
        <f>'[13]TB @ 1-25-05'!$F$21</f>
        <v>9495262</v>
      </c>
      <c r="C9" s="484">
        <v>0</v>
      </c>
      <c r="D9" s="484">
        <v>0</v>
      </c>
      <c r="E9" s="485">
        <f>SUM(B9:D9)</f>
        <v>9495262</v>
      </c>
    </row>
    <row r="10" spans="1:5" ht="15" customHeight="1">
      <c r="A10" s="839" t="s">
        <v>261</v>
      </c>
      <c r="B10" s="485">
        <v>0</v>
      </c>
      <c r="C10" s="485">
        <f>'Earned Incurred YTD-6'!$B$49</f>
        <v>45849.92</v>
      </c>
      <c r="D10" s="485">
        <v>0</v>
      </c>
      <c r="E10" s="485">
        <f>SUM(B10:D10)</f>
        <v>45849.92</v>
      </c>
    </row>
    <row r="11" spans="1:5" ht="15" customHeight="1">
      <c r="A11" s="839" t="s">
        <v>262</v>
      </c>
      <c r="B11" s="485">
        <f>367611.4-234067.63</f>
        <v>133543.77000000002</v>
      </c>
      <c r="C11" s="485">
        <v>0</v>
      </c>
      <c r="D11" s="485">
        <f>B11</f>
        <v>133543.77000000002</v>
      </c>
      <c r="E11" s="485">
        <f>+B11-D11</f>
        <v>0</v>
      </c>
    </row>
    <row r="12" spans="1:5" ht="15" customHeight="1">
      <c r="A12" s="839" t="s">
        <v>264</v>
      </c>
      <c r="B12" s="485">
        <f>'[13]TB @ 1-25-05'!$F$32+2</f>
        <v>50694.49</v>
      </c>
      <c r="C12" s="485">
        <v>0</v>
      </c>
      <c r="D12" s="485">
        <v>0</v>
      </c>
      <c r="E12" s="485">
        <f>+B12-D12</f>
        <v>50694.49</v>
      </c>
    </row>
    <row r="13" spans="1:5" ht="15" customHeight="1">
      <c r="A13" s="839" t="s">
        <v>265</v>
      </c>
      <c r="B13" s="485">
        <f>75838.16-34570.45</f>
        <v>41267.71000000001</v>
      </c>
      <c r="C13" s="485">
        <v>0</v>
      </c>
      <c r="D13" s="485">
        <f>B13</f>
        <v>41267.71000000001</v>
      </c>
      <c r="E13" s="485">
        <f>+B13-D13</f>
        <v>0</v>
      </c>
    </row>
    <row r="14" spans="1:5" ht="15" customHeight="1">
      <c r="A14" s="839" t="s">
        <v>500</v>
      </c>
      <c r="B14" s="485">
        <f>151575</f>
        <v>151575</v>
      </c>
      <c r="C14" s="485"/>
      <c r="D14" s="485">
        <f>B14</f>
        <v>151575</v>
      </c>
      <c r="E14" s="485">
        <v>0</v>
      </c>
    </row>
    <row r="15" spans="1:5" ht="15" customHeight="1">
      <c r="A15" s="840" t="s">
        <v>266</v>
      </c>
      <c r="B15" s="478">
        <f>SUM(B8:B14)</f>
        <v>13821659.280000001</v>
      </c>
      <c r="C15" s="478">
        <f>SUM(C8:C14)</f>
        <v>45849.92</v>
      </c>
      <c r="D15" s="478">
        <f>SUM(D8:D14)+1</f>
        <v>326387.48000000004</v>
      </c>
      <c r="E15" s="478">
        <f>SUM(E8:E14)-1</f>
        <v>13541121.72</v>
      </c>
    </row>
    <row r="16" spans="1:5" ht="15" customHeight="1">
      <c r="A16" s="841"/>
      <c r="B16" s="479"/>
      <c r="C16" s="479"/>
      <c r="D16" s="479"/>
      <c r="E16" s="479"/>
    </row>
    <row r="17" spans="1:5" ht="15" customHeight="1">
      <c r="A17" s="842" t="s">
        <v>267</v>
      </c>
      <c r="B17" s="479"/>
      <c r="C17" s="479"/>
      <c r="D17" s="479"/>
      <c r="E17" s="479"/>
    </row>
    <row r="18" spans="1:5" ht="15" customHeight="1">
      <c r="A18" s="841" t="s">
        <v>268</v>
      </c>
      <c r="B18" s="479"/>
      <c r="C18" s="479"/>
      <c r="D18" s="479" t="s">
        <v>268</v>
      </c>
      <c r="E18" s="479"/>
    </row>
    <row r="19" spans="1:5" ht="15" customHeight="1">
      <c r="A19" s="843" t="s">
        <v>445</v>
      </c>
      <c r="B19" s="479"/>
      <c r="C19" s="480"/>
      <c r="D19" s="488">
        <f>-'[13]TB @ 1-25-05'!$F$183</f>
        <v>1407926</v>
      </c>
      <c r="E19" s="479"/>
    </row>
    <row r="20" spans="1:5" ht="15" customHeight="1">
      <c r="A20" s="843" t="s">
        <v>446</v>
      </c>
      <c r="B20" s="479"/>
      <c r="C20" s="480"/>
      <c r="D20" s="488">
        <f>-'[13]TB @ 1-25-05'!$F$186</f>
        <v>335683</v>
      </c>
      <c r="E20" s="479"/>
    </row>
    <row r="21" spans="1:5" ht="15" customHeight="1">
      <c r="A21" s="843" t="s">
        <v>72</v>
      </c>
      <c r="B21" s="479"/>
      <c r="C21" s="480"/>
      <c r="D21" s="488">
        <f>-'[13]TB @ 1-25-05'!$F$180</f>
        <v>374851.74999999994</v>
      </c>
      <c r="E21" s="479"/>
    </row>
    <row r="22" spans="1:5" ht="15" customHeight="1">
      <c r="A22" s="843" t="s">
        <v>17</v>
      </c>
      <c r="B22" s="479"/>
      <c r="C22" s="480"/>
      <c r="D22" s="488">
        <f>-'[13]TB @ 1-25-05'!$F$194</f>
        <v>440313</v>
      </c>
      <c r="E22" s="479"/>
    </row>
    <row r="23" spans="1:5" ht="15" customHeight="1">
      <c r="A23" s="843" t="s">
        <v>78</v>
      </c>
      <c r="B23" s="479"/>
      <c r="C23" s="551"/>
      <c r="D23" s="488">
        <f>-'[13]TB @ 1-25-05'!$F$202</f>
        <v>323548.58999999997</v>
      </c>
      <c r="E23" s="479"/>
    </row>
    <row r="24" spans="1:5" ht="15" customHeight="1">
      <c r="A24" s="843" t="s">
        <v>456</v>
      </c>
      <c r="B24" s="479"/>
      <c r="C24" s="551"/>
      <c r="D24" s="488">
        <f>-'[13]TB @ 1-25-05'!$F$143</f>
        <v>43215.03</v>
      </c>
      <c r="E24" s="488"/>
    </row>
    <row r="25" spans="1:5" ht="15" customHeight="1">
      <c r="A25" s="843" t="s">
        <v>79</v>
      </c>
      <c r="B25" s="479"/>
      <c r="C25" s="480"/>
      <c r="D25" s="487">
        <f>-'[13]TB @ 1-25-05'!$F$139</f>
        <v>66898.1</v>
      </c>
      <c r="E25" s="480"/>
    </row>
    <row r="26" spans="1:5" ht="15" customHeight="1">
      <c r="A26" s="843"/>
      <c r="B26" s="359"/>
      <c r="C26" s="479"/>
      <c r="D26" s="479"/>
      <c r="E26" s="488"/>
    </row>
    <row r="27" spans="1:5" ht="15" customHeight="1">
      <c r="A27" s="840" t="s">
        <v>269</v>
      </c>
      <c r="B27" s="479"/>
      <c r="C27" s="479"/>
      <c r="D27" s="479"/>
      <c r="E27" s="489">
        <f>SUM(D19:D26)+1</f>
        <v>2992436.4699999997</v>
      </c>
    </row>
    <row r="28" spans="1:5" ht="15" customHeight="1">
      <c r="A28" s="841"/>
      <c r="B28" s="479"/>
      <c r="C28" s="479"/>
      <c r="D28" s="479"/>
      <c r="E28" s="479"/>
    </row>
    <row r="29" spans="1:5" ht="15" customHeight="1">
      <c r="A29" s="842" t="s">
        <v>270</v>
      </c>
      <c r="B29" s="479"/>
      <c r="C29" s="479"/>
      <c r="D29" s="479"/>
      <c r="E29" s="479"/>
    </row>
    <row r="30" spans="1:5" ht="15" customHeight="1">
      <c r="A30" s="843" t="s">
        <v>271</v>
      </c>
      <c r="B30" s="479"/>
      <c r="C30" s="480"/>
      <c r="D30" s="488">
        <f>'Equity YTD-4'!G41</f>
        <v>11919572</v>
      </c>
      <c r="E30" s="479"/>
    </row>
    <row r="31" spans="1:5" ht="15" customHeight="1">
      <c r="A31" s="843" t="s">
        <v>69</v>
      </c>
      <c r="B31" s="479"/>
      <c r="C31" s="480"/>
      <c r="D31" s="488">
        <f>'Losses Incurred YTD-10'!G19</f>
        <v>4975461.680000001</v>
      </c>
      <c r="E31" s="479"/>
    </row>
    <row r="32" spans="1:5" ht="15" customHeight="1">
      <c r="A32" s="843" t="s">
        <v>68</v>
      </c>
      <c r="B32" s="479"/>
      <c r="C32" s="480"/>
      <c r="D32" s="488">
        <f>'Losses Incurred YTD-10'!G25</f>
        <v>1537015</v>
      </c>
      <c r="E32" s="488"/>
    </row>
    <row r="33" spans="1:5" ht="15" customHeight="1">
      <c r="A33" s="843" t="s">
        <v>73</v>
      </c>
      <c r="B33" s="479"/>
      <c r="C33" s="480"/>
      <c r="D33" s="488">
        <f>'[13]ALAE &amp; ULAE Calculation-14'!$G$20</f>
        <v>475034</v>
      </c>
      <c r="E33" s="479"/>
    </row>
    <row r="34" spans="1:5" ht="15" customHeight="1">
      <c r="A34" s="843" t="s">
        <v>74</v>
      </c>
      <c r="B34" s="480"/>
      <c r="C34" s="480"/>
      <c r="D34" s="488">
        <f>'[13]ALAE &amp; ULAE Calculation-14'!$G$27</f>
        <v>167544.97</v>
      </c>
      <c r="E34" s="488"/>
    </row>
    <row r="35" spans="1:5" ht="15" customHeight="1">
      <c r="A35" s="843" t="s">
        <v>103</v>
      </c>
      <c r="B35" s="479"/>
      <c r="C35" s="480"/>
      <c r="D35" s="122">
        <f>'Equity YTD-4'!G44</f>
        <v>251967.98000000004</v>
      </c>
      <c r="E35" s="479"/>
    </row>
    <row r="36" spans="1:5" ht="15" customHeight="1">
      <c r="A36" s="843" t="s">
        <v>97</v>
      </c>
      <c r="B36" s="479"/>
      <c r="C36" s="479"/>
      <c r="D36" s="487">
        <f>'Equity YTD-4'!G45</f>
        <v>61013.43</v>
      </c>
      <c r="E36" s="479"/>
    </row>
    <row r="37" spans="1:5" ht="15" customHeight="1">
      <c r="A37" s="843"/>
      <c r="B37" s="479"/>
      <c r="C37" s="479"/>
      <c r="D37" s="479"/>
      <c r="E37" s="479"/>
    </row>
    <row r="38" spans="1:5" ht="15" customHeight="1">
      <c r="A38" s="844" t="s">
        <v>388</v>
      </c>
      <c r="B38" s="479"/>
      <c r="C38" s="479"/>
      <c r="D38" s="480"/>
      <c r="E38" s="489">
        <f>SUM(D30:D36)</f>
        <v>19387609.06</v>
      </c>
    </row>
    <row r="39" spans="1:5" ht="15" customHeight="1">
      <c r="A39" s="844"/>
      <c r="B39" s="479"/>
      <c r="C39" s="479"/>
      <c r="D39" s="480"/>
      <c r="E39" s="482"/>
    </row>
    <row r="40" spans="1:5" ht="15" customHeight="1">
      <c r="A40" s="840" t="s">
        <v>273</v>
      </c>
      <c r="B40" s="479"/>
      <c r="C40" s="479"/>
      <c r="D40" s="480"/>
      <c r="E40" s="490">
        <f>E38+E27-1</f>
        <v>22380044.529999997</v>
      </c>
    </row>
    <row r="41" spans="1:5" ht="15" customHeight="1">
      <c r="A41" s="841"/>
      <c r="B41" s="479"/>
      <c r="C41" s="479"/>
      <c r="D41" s="480"/>
      <c r="E41" s="479"/>
    </row>
    <row r="42" spans="1:5" ht="15" customHeight="1">
      <c r="A42" s="842" t="s">
        <v>274</v>
      </c>
      <c r="B42" s="479"/>
      <c r="C42" s="479"/>
      <c r="D42" s="480"/>
      <c r="E42" s="479"/>
    </row>
    <row r="43" spans="1:7" ht="15" customHeight="1">
      <c r="A43" s="843" t="s">
        <v>499</v>
      </c>
      <c r="B43" s="479"/>
      <c r="C43" s="479"/>
      <c r="D43" s="480"/>
      <c r="E43" s="489">
        <f>+E15-E40</f>
        <v>-8838922.809999997</v>
      </c>
      <c r="F43" s="845"/>
      <c r="G43" s="846"/>
    </row>
    <row r="44" spans="1:5" ht="15" customHeight="1">
      <c r="A44" s="841"/>
      <c r="B44" s="480"/>
      <c r="C44" s="480"/>
      <c r="D44" s="480"/>
      <c r="E44" s="479"/>
    </row>
    <row r="45" spans="1:5" ht="15" customHeight="1" thickBot="1">
      <c r="A45" s="844" t="s">
        <v>275</v>
      </c>
      <c r="B45" s="479"/>
      <c r="C45" s="479"/>
      <c r="D45" s="479"/>
      <c r="E45" s="483">
        <f>E40+E43</f>
        <v>13541121.72</v>
      </c>
    </row>
    <row r="46" spans="1:5" ht="15" customHeight="1" thickTop="1">
      <c r="A46" s="15"/>
      <c r="B46" s="475"/>
      <c r="C46" s="475"/>
      <c r="D46" s="475"/>
      <c r="E46" s="475"/>
    </row>
    <row r="47" spans="1:5" ht="15" customHeight="1">
      <c r="A47" s="15"/>
      <c r="E47" s="475"/>
    </row>
    <row r="58" spans="1:5" ht="15" customHeight="1">
      <c r="A58" s="834"/>
      <c r="E58" s="835"/>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G37"/>
  <sheetViews>
    <sheetView zoomScale="75" zoomScaleNormal="75" workbookViewId="0" topLeftCell="A22">
      <selection activeCell="D31" sqref="D3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43" t="s">
        <v>258</v>
      </c>
      <c r="B1" s="943"/>
      <c r="C1" s="943"/>
      <c r="D1" s="943"/>
      <c r="E1" s="943"/>
    </row>
    <row r="2" spans="1:3" s="20" customFormat="1" ht="15" customHeight="1">
      <c r="A2" s="965"/>
      <c r="B2" s="965"/>
      <c r="C2" s="965"/>
    </row>
    <row r="3" spans="1:5" s="21" customFormat="1" ht="15" customHeight="1">
      <c r="A3" s="966" t="s">
        <v>276</v>
      </c>
      <c r="B3" s="966"/>
      <c r="C3" s="966"/>
      <c r="D3" s="966"/>
      <c r="E3" s="966"/>
    </row>
    <row r="4" spans="1:5" s="21" customFormat="1" ht="15" customHeight="1">
      <c r="A4" s="966" t="str">
        <f>+'Balance Sheet-1'!A4</f>
        <v>AT DECEMBER 31, 2004</v>
      </c>
      <c r="B4" s="966"/>
      <c r="C4" s="966"/>
      <c r="D4" s="966"/>
      <c r="E4" s="966"/>
    </row>
    <row r="5" spans="1:3" s="21" customFormat="1" ht="15" customHeight="1">
      <c r="A5" s="380"/>
      <c r="B5" s="381"/>
      <c r="C5" s="381"/>
    </row>
    <row r="6" spans="1:5" ht="15" customHeight="1">
      <c r="A6" s="371"/>
      <c r="B6" s="847" t="s">
        <v>210</v>
      </c>
      <c r="C6" s="848"/>
      <c r="D6" s="847" t="s">
        <v>18</v>
      </c>
      <c r="E6" s="848"/>
    </row>
    <row r="7" spans="1:5" ht="15" customHeight="1">
      <c r="A7" s="371"/>
      <c r="B7" s="849"/>
      <c r="C7" s="850"/>
      <c r="D7" s="849"/>
      <c r="E7" s="850"/>
    </row>
    <row r="8" spans="1:5" ht="15" customHeight="1">
      <c r="A8" s="851" t="s">
        <v>278</v>
      </c>
      <c r="B8" s="849"/>
      <c r="C8" s="852"/>
      <c r="D8" s="849"/>
      <c r="E8" s="852"/>
    </row>
    <row r="9" spans="1:5" ht="15" customHeight="1">
      <c r="A9" s="851"/>
      <c r="B9" s="849"/>
      <c r="C9" s="852"/>
      <c r="D9" s="849"/>
      <c r="E9" s="852"/>
    </row>
    <row r="10" spans="1:5" ht="15" customHeight="1">
      <c r="A10" s="371" t="s">
        <v>279</v>
      </c>
      <c r="B10" s="382"/>
      <c r="C10" s="574">
        <f>'Earned Incurred QTD-5'!D16</f>
        <v>5968947</v>
      </c>
      <c r="D10" s="382"/>
      <c r="E10" s="574">
        <f>'Earned Incurred YTD-6'!D16</f>
        <v>22788202</v>
      </c>
    </row>
    <row r="11" spans="1:5" ht="15" customHeight="1">
      <c r="A11" s="851"/>
      <c r="B11" s="382"/>
      <c r="C11" s="853"/>
      <c r="D11" s="382"/>
      <c r="E11" s="853"/>
    </row>
    <row r="12" spans="1:5" ht="15" customHeight="1">
      <c r="A12" s="851" t="s">
        <v>280</v>
      </c>
      <c r="B12" s="382"/>
      <c r="C12" s="853"/>
      <c r="D12" s="382"/>
      <c r="E12" s="853"/>
    </row>
    <row r="13" spans="1:5" ht="15" customHeight="1">
      <c r="A13" s="371" t="s">
        <v>281</v>
      </c>
      <c r="B13" s="127">
        <f>'Earned Incurred QTD-5'!D23</f>
        <v>2677821.52</v>
      </c>
      <c r="C13" s="853"/>
      <c r="D13" s="127">
        <f>'Earned Incurred YTD-6'!D23</f>
        <v>11946739.680000003</v>
      </c>
      <c r="E13" s="853"/>
    </row>
    <row r="14" spans="1:5" ht="15" customHeight="1">
      <c r="A14" s="371" t="s">
        <v>282</v>
      </c>
      <c r="B14" s="127">
        <f>'Earned Incurred QTD-5'!D30</f>
        <v>334631.1599999999</v>
      </c>
      <c r="C14" s="853"/>
      <c r="D14" s="127">
        <f>'Earned Incurred YTD-6'!D30</f>
        <v>1543582.7700000003</v>
      </c>
      <c r="E14" s="853"/>
    </row>
    <row r="15" spans="1:5" ht="15" customHeight="1">
      <c r="A15" s="371" t="s">
        <v>283</v>
      </c>
      <c r="B15" s="127">
        <f>'Earned Incurred QTD-5'!C37</f>
        <v>509394.39999999997</v>
      </c>
      <c r="C15" s="853"/>
      <c r="D15" s="127">
        <f>'Earned Incurred YTD-6'!C37</f>
        <v>2141483.1999999997</v>
      </c>
      <c r="E15" s="853"/>
    </row>
    <row r="16" spans="1:6" ht="15" customHeight="1">
      <c r="A16" s="371" t="s">
        <v>284</v>
      </c>
      <c r="B16" s="127">
        <f>'Earned Incurred QTD-5'!C39+'Earned Incurred QTD-5'!C38+'Earned Incurred QTD-5'!C43</f>
        <v>965089.9800000002</v>
      </c>
      <c r="C16" s="853"/>
      <c r="D16" s="127">
        <f>'Earned Incurred YTD-6'!C38+'Earned Incurred YTD-6'!C39+'Earned Incurred YTD-6'!C43</f>
        <v>4239312.320000006</v>
      </c>
      <c r="E16" s="853"/>
      <c r="F16" s="114"/>
    </row>
    <row r="17" spans="1:5" ht="15" customHeight="1">
      <c r="A17" s="371" t="s">
        <v>99</v>
      </c>
      <c r="B17" s="145">
        <f>'Earned Incurred QTD-5'!D36</f>
        <v>19581.11</v>
      </c>
      <c r="C17" s="853"/>
      <c r="D17" s="145">
        <f>'Earned Incurred YTD-6'!D36</f>
        <v>86201.36</v>
      </c>
      <c r="E17" s="853"/>
    </row>
    <row r="18" spans="1:5" ht="15" customHeight="1">
      <c r="A18" s="371" t="s">
        <v>469</v>
      </c>
      <c r="B18" s="382"/>
      <c r="C18" s="491">
        <f>SUM(B13:B17)</f>
        <v>4506518.17</v>
      </c>
      <c r="D18" s="382"/>
      <c r="E18" s="491">
        <f>SUM(D13:D17)</f>
        <v>19957319.330000006</v>
      </c>
    </row>
    <row r="19" spans="1:5" ht="15" customHeight="1">
      <c r="A19" s="371"/>
      <c r="B19" s="382"/>
      <c r="C19" s="492"/>
      <c r="D19" s="382"/>
      <c r="E19" s="492"/>
    </row>
    <row r="20" spans="1:5" ht="15" customHeight="1">
      <c r="A20" s="371" t="s">
        <v>473</v>
      </c>
      <c r="B20" s="382"/>
      <c r="C20" s="492">
        <f>C10-C18</f>
        <v>1462428.83</v>
      </c>
      <c r="D20" s="382"/>
      <c r="E20" s="492">
        <f>E10-E18</f>
        <v>2830882.6699999943</v>
      </c>
    </row>
    <row r="21" spans="1:5" ht="15" customHeight="1">
      <c r="A21" s="851"/>
      <c r="B21" s="382"/>
      <c r="C21" s="492"/>
      <c r="D21" s="382"/>
      <c r="E21" s="492"/>
    </row>
    <row r="22" spans="1:5" ht="15" customHeight="1">
      <c r="A22" s="851" t="s">
        <v>286</v>
      </c>
      <c r="B22" s="382"/>
      <c r="C22" s="492"/>
      <c r="D22" s="382"/>
      <c r="E22" s="492"/>
    </row>
    <row r="23" spans="1:5" ht="15" customHeight="1">
      <c r="A23" s="371" t="s">
        <v>44</v>
      </c>
      <c r="B23" s="382"/>
      <c r="C23" s="491">
        <f>'Earned Incurred QTD-5'!D52</f>
        <v>65163.67000000002</v>
      </c>
      <c r="D23" s="382"/>
      <c r="E23" s="491">
        <f>'Earned Incurred YTD-6'!D52</f>
        <v>178340.35000000003</v>
      </c>
    </row>
    <row r="24" spans="1:5" ht="15" customHeight="1">
      <c r="A24" s="371"/>
      <c r="B24" s="382"/>
      <c r="C24" s="492"/>
      <c r="D24" s="382"/>
      <c r="E24" s="492"/>
    </row>
    <row r="25" spans="1:5" ht="15" customHeight="1" thickBot="1">
      <c r="A25" s="371" t="s">
        <v>474</v>
      </c>
      <c r="B25" s="382"/>
      <c r="C25" s="493">
        <f>C20+C23</f>
        <v>1527592.5</v>
      </c>
      <c r="D25" s="382"/>
      <c r="E25" s="493">
        <f>E20+E23</f>
        <v>3009223.0199999944</v>
      </c>
    </row>
    <row r="26" spans="1:5" ht="15" customHeight="1">
      <c r="A26" s="851"/>
      <c r="B26" s="382"/>
      <c r="C26" s="659"/>
      <c r="D26" s="382"/>
      <c r="E26" s="659"/>
    </row>
    <row r="27" spans="1:5" ht="15" customHeight="1">
      <c r="A27" s="851" t="s">
        <v>274</v>
      </c>
      <c r="B27" s="382"/>
      <c r="C27" s="492"/>
      <c r="D27" s="382"/>
      <c r="E27" s="492"/>
    </row>
    <row r="28" spans="1:5" ht="15" customHeight="1">
      <c r="A28" s="371" t="s">
        <v>43</v>
      </c>
      <c r="B28" s="382"/>
      <c r="C28" s="492">
        <v>-10398353.220000004</v>
      </c>
      <c r="D28" s="382"/>
      <c r="E28" s="492">
        <v>-11925058.37</v>
      </c>
    </row>
    <row r="29" spans="1:5" ht="15" customHeight="1">
      <c r="A29" s="371" t="s">
        <v>475</v>
      </c>
      <c r="B29" s="127">
        <f>C25</f>
        <v>1527592.5</v>
      </c>
      <c r="C29" s="492"/>
      <c r="D29" s="127">
        <f>E25</f>
        <v>3009223.0199999944</v>
      </c>
      <c r="E29" s="492"/>
    </row>
    <row r="30" spans="1:5" ht="15" customHeight="1">
      <c r="A30" s="371" t="s">
        <v>289</v>
      </c>
      <c r="B30" s="127">
        <v>-136550</v>
      </c>
      <c r="C30" s="492"/>
      <c r="D30" s="127">
        <v>-91475</v>
      </c>
      <c r="E30" s="492"/>
    </row>
    <row r="31" spans="1:7" ht="14.25">
      <c r="A31" s="18" t="s">
        <v>0</v>
      </c>
      <c r="B31" s="145">
        <v>168387</v>
      </c>
      <c r="D31" s="494">
        <f>B31</f>
        <v>168387</v>
      </c>
      <c r="E31" s="492"/>
      <c r="F31" s="127"/>
      <c r="G31" s="492"/>
    </row>
    <row r="32" spans="3:7" ht="14.25">
      <c r="C32" s="492"/>
      <c r="D32" s="127"/>
      <c r="E32" s="492"/>
      <c r="F32" s="127"/>
      <c r="G32" s="127"/>
    </row>
    <row r="33" spans="1:5" ht="15" customHeight="1">
      <c r="A33" s="371" t="s">
        <v>290</v>
      </c>
      <c r="C33" s="492">
        <f>SUM(B29:B33)</f>
        <v>1559429.5</v>
      </c>
      <c r="D33" s="127"/>
      <c r="E33" s="492">
        <f>SUM(D29:D33)</f>
        <v>3086135.0199999944</v>
      </c>
    </row>
    <row r="34" spans="1:5" ht="15" customHeight="1">
      <c r="A34" s="371"/>
      <c r="C34" s="854"/>
      <c r="D34" s="127"/>
      <c r="E34" s="854"/>
    </row>
    <row r="35" spans="1:5" ht="15" customHeight="1" thickBot="1">
      <c r="A35" s="855" t="s">
        <v>498</v>
      </c>
      <c r="B35" s="382"/>
      <c r="C35" s="570">
        <f>C28+C33+1</f>
        <v>-8838922.720000004</v>
      </c>
      <c r="D35" s="382"/>
      <c r="E35" s="570">
        <f>E28+E33</f>
        <v>-8838923.350000005</v>
      </c>
    </row>
    <row r="36" spans="2:5" s="14" customFormat="1" ht="15" customHeight="1" thickTop="1">
      <c r="B36" s="256"/>
      <c r="C36" s="127"/>
      <c r="D36" s="371"/>
      <c r="E36" s="127"/>
    </row>
    <row r="37" spans="3:5" ht="15" customHeight="1">
      <c r="C37" s="349"/>
      <c r="E37" s="349"/>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6.xml><?xml version="1.0" encoding="utf-8"?>
<worksheet xmlns="http://schemas.openxmlformats.org/spreadsheetml/2006/main" xmlns:r="http://schemas.openxmlformats.org/officeDocument/2006/relationships">
  <dimension ref="A1:I87"/>
  <sheetViews>
    <sheetView zoomScale="75" zoomScaleNormal="75" workbookViewId="0" topLeftCell="A18">
      <selection activeCell="B29" sqref="B29"/>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67" t="s">
        <v>258</v>
      </c>
      <c r="B1" s="967"/>
      <c r="C1" s="967"/>
      <c r="D1" s="967"/>
      <c r="E1" s="967"/>
      <c r="F1" s="967"/>
      <c r="G1" s="967"/>
    </row>
    <row r="2" spans="1:7" s="27" customFormat="1" ht="15" customHeight="1">
      <c r="A2" s="968"/>
      <c r="B2" s="968"/>
      <c r="C2" s="968"/>
      <c r="D2" s="968"/>
      <c r="E2" s="968"/>
      <c r="F2" s="968"/>
      <c r="G2" s="968"/>
    </row>
    <row r="3" spans="1:7" s="856" customFormat="1" ht="15" customHeight="1">
      <c r="A3" s="969" t="s">
        <v>291</v>
      </c>
      <c r="B3" s="969"/>
      <c r="C3" s="969"/>
      <c r="D3" s="969"/>
      <c r="E3" s="969"/>
      <c r="F3" s="969"/>
      <c r="G3" s="969"/>
    </row>
    <row r="4" spans="1:7" s="856" customFormat="1" ht="15" customHeight="1">
      <c r="A4" s="969" t="s">
        <v>496</v>
      </c>
      <c r="B4" s="969"/>
      <c r="C4" s="969"/>
      <c r="D4" s="969"/>
      <c r="E4" s="969"/>
      <c r="F4" s="969"/>
      <c r="G4" s="969"/>
    </row>
    <row r="5" spans="1:7" s="29" customFormat="1" ht="15" customHeight="1">
      <c r="A5" s="383"/>
      <c r="B5" s="827"/>
      <c r="C5" s="827"/>
      <c r="D5" s="828"/>
      <c r="E5" s="829"/>
      <c r="F5" s="829"/>
      <c r="G5" s="830"/>
    </row>
    <row r="6" spans="1:7" s="858" customFormat="1" ht="30" customHeight="1">
      <c r="A6" s="857"/>
      <c r="B6" s="831" t="s">
        <v>198</v>
      </c>
      <c r="C6" s="831" t="s">
        <v>42</v>
      </c>
      <c r="D6" s="831" t="s">
        <v>46</v>
      </c>
      <c r="E6" s="831" t="s">
        <v>147</v>
      </c>
      <c r="F6" s="831" t="s">
        <v>217</v>
      </c>
      <c r="G6" s="831" t="s">
        <v>259</v>
      </c>
    </row>
    <row r="7" spans="1:7" s="864" customFormat="1" ht="15" customHeight="1">
      <c r="A7" s="859" t="s">
        <v>293</v>
      </c>
      <c r="B7" s="860"/>
      <c r="C7" s="860"/>
      <c r="D7" s="861"/>
      <c r="E7" s="862"/>
      <c r="F7" s="862"/>
      <c r="G7" s="863"/>
    </row>
    <row r="8" spans="1:7" s="868" customFormat="1" ht="15" customHeight="1">
      <c r="A8" s="865" t="s">
        <v>294</v>
      </c>
      <c r="B8" s="866">
        <f>'Premiums QTD-7'!B11</f>
        <v>5873127</v>
      </c>
      <c r="C8" s="866">
        <f>'Premiums QTD-7'!C11</f>
        <v>-22293</v>
      </c>
      <c r="D8" s="866">
        <f>'Premiums QTD-7'!D11</f>
        <v>-1730</v>
      </c>
      <c r="E8" s="866">
        <f>'Premiums QTD-7'!E11</f>
        <v>-176</v>
      </c>
      <c r="F8" s="867">
        <f>'Premiums QTD-7'!F11</f>
        <v>0</v>
      </c>
      <c r="G8" s="866">
        <f>SUM(B8:F8)</f>
        <v>5848928</v>
      </c>
    </row>
    <row r="9" spans="1:7" s="868" customFormat="1" ht="15" customHeight="1">
      <c r="A9" s="865" t="s">
        <v>295</v>
      </c>
      <c r="B9" s="867">
        <f>'Earned Incurred QTD-5'!C48</f>
        <v>57377.160000000025</v>
      </c>
      <c r="C9" s="867">
        <v>0</v>
      </c>
      <c r="D9" s="867">
        <v>0</v>
      </c>
      <c r="E9" s="867">
        <v>0</v>
      </c>
      <c r="F9" s="867">
        <v>0</v>
      </c>
      <c r="G9" s="867">
        <f>SUM(B9:F9)</f>
        <v>57377.160000000025</v>
      </c>
    </row>
    <row r="10" spans="1:7" s="868" customFormat="1" ht="15" customHeight="1" thickBot="1">
      <c r="A10" s="869" t="s">
        <v>296</v>
      </c>
      <c r="B10" s="870">
        <f aca="true" t="shared" si="0" ref="B10:G10">SUM(B8:B9)</f>
        <v>5930504.16</v>
      </c>
      <c r="C10" s="870">
        <f t="shared" si="0"/>
        <v>-22293</v>
      </c>
      <c r="D10" s="870">
        <f t="shared" si="0"/>
        <v>-1730</v>
      </c>
      <c r="E10" s="871">
        <f t="shared" si="0"/>
        <v>-176</v>
      </c>
      <c r="F10" s="871">
        <f t="shared" si="0"/>
        <v>0</v>
      </c>
      <c r="G10" s="872">
        <f t="shared" si="0"/>
        <v>5906305.16</v>
      </c>
    </row>
    <row r="11" spans="1:7" s="868" customFormat="1" ht="15" customHeight="1" thickTop="1">
      <c r="A11" s="869"/>
      <c r="B11" s="873"/>
      <c r="C11" s="873"/>
      <c r="D11" s="873"/>
      <c r="E11" s="867"/>
      <c r="F11" s="867"/>
      <c r="G11" s="867"/>
    </row>
    <row r="12" spans="1:7" s="868" customFormat="1" ht="15" customHeight="1">
      <c r="A12" s="859" t="s">
        <v>297</v>
      </c>
      <c r="B12" s="861"/>
      <c r="C12" s="861"/>
      <c r="D12" s="861"/>
      <c r="E12" s="874"/>
      <c r="F12" s="874"/>
      <c r="G12" s="867"/>
    </row>
    <row r="13" spans="1:7" s="868" customFormat="1" ht="15" customHeight="1">
      <c r="A13" s="869" t="s">
        <v>298</v>
      </c>
      <c r="B13" s="867">
        <f>'Losses Incurred QTD-9'!B13</f>
        <v>1029447.81</v>
      </c>
      <c r="C13" s="867">
        <f>'Losses Incurred QTD-9'!C13</f>
        <v>1517041.57</v>
      </c>
      <c r="D13" s="867">
        <f>'Losses Incurred QTD-9'!D13</f>
        <v>23625.760000000002</v>
      </c>
      <c r="E13" s="867">
        <f>'Losses Incurred QTD-9'!E13</f>
        <v>-17742</v>
      </c>
      <c r="F13" s="867">
        <f>'Losses Incurred QTD-9'!F13</f>
        <v>-519.38</v>
      </c>
      <c r="G13" s="867">
        <f>SUM(B13:F13)+1</f>
        <v>2551854.76</v>
      </c>
    </row>
    <row r="14" spans="1:7" s="868" customFormat="1" ht="15" customHeight="1">
      <c r="A14" s="869" t="s">
        <v>299</v>
      </c>
      <c r="B14" s="867">
        <f>'[13]Loss Expenses QTD-16'!$C$37</f>
        <v>122267.81</v>
      </c>
      <c r="C14" s="867">
        <f>'[13]Loss Expenses QTD-16'!$C$31</f>
        <v>100474.84</v>
      </c>
      <c r="D14" s="867">
        <f>'[13]Loss Expenses QTD-16'!$C$25</f>
        <v>18420.059999999998</v>
      </c>
      <c r="E14" s="867">
        <f>'[13]Loss Expenses QTD-16'!$C$19</f>
        <v>7305.21</v>
      </c>
      <c r="F14" s="867">
        <f>'[13]Loss Expenses QTD-16'!$C$13</f>
        <v>3824.56</v>
      </c>
      <c r="G14" s="867">
        <f aca="true" t="shared" si="1" ref="G14:G21">SUM(B14:F14)</f>
        <v>252292.47999999998</v>
      </c>
    </row>
    <row r="15" spans="1:8" s="868" customFormat="1" ht="15" customHeight="1">
      <c r="A15" s="869" t="s">
        <v>300</v>
      </c>
      <c r="B15" s="867">
        <f>'[13]Loss Expenses QTD-16'!$I$37</f>
        <v>47201.07</v>
      </c>
      <c r="C15" s="867">
        <f>'[13]Loss Expenses QTD-16'!$I$31</f>
        <v>71111.22</v>
      </c>
      <c r="D15" s="867">
        <f>'[13]Loss Expenses QTD-16'!$I$25</f>
        <v>1509.1799999999998</v>
      </c>
      <c r="E15" s="867">
        <f>'[13]Loss Expenses QTD-16'!$I$19</f>
        <v>34.75</v>
      </c>
      <c r="F15" s="867">
        <f>'[13]Loss Expenses QTD-16'!$I$13</f>
        <v>0</v>
      </c>
      <c r="G15" s="867">
        <f>SUM(B15:F15)</f>
        <v>119856.22</v>
      </c>
      <c r="H15" s="876"/>
    </row>
    <row r="16" spans="1:7" s="868" customFormat="1" ht="15" customHeight="1">
      <c r="A16" s="869" t="s">
        <v>301</v>
      </c>
      <c r="B16" s="867">
        <f>'[13]TB @ 1-25-05'!$D$528</f>
        <v>6387.43</v>
      </c>
      <c r="C16" s="867">
        <v>0</v>
      </c>
      <c r="D16" s="867">
        <v>0</v>
      </c>
      <c r="E16" s="867">
        <v>0</v>
      </c>
      <c r="F16" s="867">
        <v>0</v>
      </c>
      <c r="G16" s="867">
        <f t="shared" si="1"/>
        <v>6387.43</v>
      </c>
    </row>
    <row r="17" spans="1:7" s="868" customFormat="1" ht="15" customHeight="1">
      <c r="A17" s="875" t="s">
        <v>302</v>
      </c>
      <c r="B17" s="867">
        <f>'[13]TB @ 1-25-05'!$D$533</f>
        <v>72478.23</v>
      </c>
      <c r="C17" s="867">
        <v>0</v>
      </c>
      <c r="D17" s="867">
        <v>0</v>
      </c>
      <c r="E17" s="867">
        <v>0</v>
      </c>
      <c r="F17" s="867">
        <v>0</v>
      </c>
      <c r="G17" s="867">
        <f t="shared" si="1"/>
        <v>72478.23</v>
      </c>
    </row>
    <row r="18" spans="1:8" s="868" customFormat="1" ht="15" customHeight="1">
      <c r="A18" s="869" t="s">
        <v>304</v>
      </c>
      <c r="B18" s="867">
        <f>'[13]TB @ 1-25-05'!$C$530</f>
        <v>3093.75</v>
      </c>
      <c r="C18" s="867">
        <v>0</v>
      </c>
      <c r="D18" s="867">
        <v>0</v>
      </c>
      <c r="E18" s="867">
        <v>0</v>
      </c>
      <c r="F18" s="867">
        <v>0</v>
      </c>
      <c r="G18" s="867">
        <f t="shared" si="1"/>
        <v>3093.75</v>
      </c>
      <c r="H18" s="876"/>
    </row>
    <row r="19" spans="1:7" s="868" customFormat="1" ht="15" customHeight="1">
      <c r="A19" s="875" t="s">
        <v>303</v>
      </c>
      <c r="B19" s="867">
        <f>'[13]TB @ 1-25-05'!D504+'[13]TB @ 1-25-05'!D519+'[13]TB @ 1-25-05'!D508+'[13]TB @ 1-25-05'!D523</f>
        <v>511607.3</v>
      </c>
      <c r="C19" s="867">
        <f>'[13]TB @ 1-25-05'!D500+'[13]TB @ 1-25-05'!D515</f>
        <v>-2085.9</v>
      </c>
      <c r="D19" s="867">
        <f>'[13]TB @ 1-25-05'!D496+'[13]TB @ 1-25-05'!D511</f>
        <v>-109.4</v>
      </c>
      <c r="E19" s="867">
        <f>'[13]TB @ 1-25-05'!D492</f>
        <v>-17.6</v>
      </c>
      <c r="F19" s="867">
        <f>'[13]TB @ 1-25-05'!D485+'[13]TB @ 1-25-05'!D489</f>
        <v>0</v>
      </c>
      <c r="G19" s="867">
        <f t="shared" si="1"/>
        <v>509394.39999999997</v>
      </c>
    </row>
    <row r="20" spans="1:7" s="868" customFormat="1" ht="15" customHeight="1">
      <c r="A20" s="869" t="s">
        <v>305</v>
      </c>
      <c r="B20" s="867">
        <f>'Earned Incurred QTD-5'!C39</f>
        <v>952372.8700000001</v>
      </c>
      <c r="C20" s="867">
        <v>0</v>
      </c>
      <c r="D20" s="867">
        <v>0</v>
      </c>
      <c r="E20" s="867">
        <v>0</v>
      </c>
      <c r="F20" s="867">
        <v>0</v>
      </c>
      <c r="G20" s="867">
        <f t="shared" si="1"/>
        <v>952372.8700000001</v>
      </c>
    </row>
    <row r="21" spans="1:9" s="868" customFormat="1" ht="15" customHeight="1">
      <c r="A21" s="869" t="s">
        <v>97</v>
      </c>
      <c r="B21" s="867">
        <v>0</v>
      </c>
      <c r="C21" s="867">
        <v>0</v>
      </c>
      <c r="D21" s="867">
        <v>0</v>
      </c>
      <c r="E21" s="867">
        <v>0</v>
      </c>
      <c r="F21" s="867">
        <v>0</v>
      </c>
      <c r="G21" s="867">
        <f t="shared" si="1"/>
        <v>0</v>
      </c>
      <c r="H21" s="876"/>
      <c r="I21" s="876"/>
    </row>
    <row r="22" spans="1:7" s="868" customFormat="1" ht="15" customHeight="1" thickBot="1">
      <c r="A22" s="869" t="s">
        <v>296</v>
      </c>
      <c r="B22" s="870">
        <f>SUM(B13:B21)</f>
        <v>2744856.2700000005</v>
      </c>
      <c r="C22" s="870">
        <f>SUM(C13:C21)</f>
        <v>1686541.7300000002</v>
      </c>
      <c r="D22" s="870">
        <f>SUM(D13:D21)</f>
        <v>43445.6</v>
      </c>
      <c r="E22" s="870">
        <f>SUM(E13:E21)</f>
        <v>-10419.640000000001</v>
      </c>
      <c r="F22" s="870">
        <f>SUM(F13:F21)+1</f>
        <v>3306.18</v>
      </c>
      <c r="G22" s="872">
        <f>SUM(G13:G21)-1</f>
        <v>4467729.140000001</v>
      </c>
    </row>
    <row r="23" spans="1:7" s="868" customFormat="1" ht="15" customHeight="1" thickTop="1">
      <c r="A23" s="869"/>
      <c r="B23" s="873"/>
      <c r="C23" s="873"/>
      <c r="D23" s="873"/>
      <c r="E23" s="867"/>
      <c r="F23" s="867"/>
      <c r="G23" s="867"/>
    </row>
    <row r="24" spans="1:7" s="868" customFormat="1" ht="15" customHeight="1" thickBot="1">
      <c r="A24" s="877" t="s">
        <v>306</v>
      </c>
      <c r="B24" s="878">
        <f>B10-B22</f>
        <v>3185647.8899999997</v>
      </c>
      <c r="C24" s="878">
        <f>C10-C22</f>
        <v>-1708834.7300000002</v>
      </c>
      <c r="D24" s="878">
        <f>D10-D22</f>
        <v>-45175.6</v>
      </c>
      <c r="E24" s="878">
        <f>E10-E22</f>
        <v>10243.640000000001</v>
      </c>
      <c r="F24" s="878">
        <f>F10-F22</f>
        <v>-3306.18</v>
      </c>
      <c r="G24" s="872">
        <f>SUM(B24:F24)+1</f>
        <v>1438576.0199999993</v>
      </c>
    </row>
    <row r="25" spans="1:7" s="868" customFormat="1" ht="15" customHeight="1" thickTop="1">
      <c r="A25" s="869"/>
      <c r="B25" s="873"/>
      <c r="C25" s="873"/>
      <c r="D25" s="873"/>
      <c r="E25" s="867"/>
      <c r="F25" s="867"/>
      <c r="G25" s="867"/>
    </row>
    <row r="26" spans="1:7" s="868" customFormat="1" ht="15" customHeight="1">
      <c r="A26" s="859" t="s">
        <v>307</v>
      </c>
      <c r="B26" s="861"/>
      <c r="C26" s="861"/>
      <c r="D26" s="861"/>
      <c r="E26" s="874"/>
      <c r="F26" s="874"/>
      <c r="G26" s="867"/>
    </row>
    <row r="27" spans="1:7" s="868" customFormat="1" ht="15" customHeight="1">
      <c r="A27" s="869" t="s">
        <v>308</v>
      </c>
      <c r="B27" s="867">
        <f>'Earned Incurred QTD-5'!B50</f>
        <v>38063.41</v>
      </c>
      <c r="C27" s="867">
        <v>0</v>
      </c>
      <c r="D27" s="867">
        <v>0</v>
      </c>
      <c r="E27" s="867">
        <v>0</v>
      </c>
      <c r="F27" s="867">
        <v>0</v>
      </c>
      <c r="G27" s="867">
        <f>SUM(B27:F27)</f>
        <v>38063.41</v>
      </c>
    </row>
    <row r="28" spans="1:7" s="868" customFormat="1" ht="15" customHeight="1">
      <c r="A28" s="869" t="s">
        <v>309</v>
      </c>
      <c r="B28" s="867">
        <f>'Equity YTD-4'!B28</f>
        <v>326387.48000000004</v>
      </c>
      <c r="C28" s="867">
        <v>0</v>
      </c>
      <c r="D28" s="867">
        <v>0</v>
      </c>
      <c r="E28" s="867">
        <v>0</v>
      </c>
      <c r="F28" s="867">
        <v>0</v>
      </c>
      <c r="G28" s="867">
        <f>SUM(B28:F28)</f>
        <v>326387.48000000004</v>
      </c>
    </row>
    <row r="29" spans="1:7" s="797" customFormat="1" ht="15" customHeight="1">
      <c r="A29" s="869" t="s">
        <v>502</v>
      </c>
      <c r="B29" s="867">
        <v>335683</v>
      </c>
      <c r="C29" s="867">
        <v>0</v>
      </c>
      <c r="D29" s="867"/>
      <c r="E29" s="867"/>
      <c r="F29" s="867"/>
      <c r="G29" s="867">
        <f>SUM(B29:F29)</f>
        <v>335683</v>
      </c>
    </row>
    <row r="30" spans="1:7" s="868" customFormat="1" ht="15" customHeight="1" thickBot="1">
      <c r="A30" s="869" t="s">
        <v>296</v>
      </c>
      <c r="B30" s="871">
        <f>SUM(B27:B29)-1</f>
        <v>700132.89</v>
      </c>
      <c r="C30" s="871">
        <f>SUM(C27:C29)</f>
        <v>0</v>
      </c>
      <c r="D30" s="871">
        <f>SUM(D27:D29)</f>
        <v>0</v>
      </c>
      <c r="E30" s="871">
        <f>SUM(E27:E29)</f>
        <v>0</v>
      </c>
      <c r="F30" s="871">
        <f>SUM(F27:F29)</f>
        <v>0</v>
      </c>
      <c r="G30" s="872">
        <f>SUM(G27:G29)-1</f>
        <v>700132.89</v>
      </c>
    </row>
    <row r="31" spans="1:7" s="868" customFormat="1" ht="15" customHeight="1" thickTop="1">
      <c r="A31" s="869"/>
      <c r="B31" s="873"/>
      <c r="C31" s="873"/>
      <c r="D31" s="873"/>
      <c r="E31" s="867"/>
      <c r="F31" s="867"/>
      <c r="G31" s="867"/>
    </row>
    <row r="32" spans="1:7" s="868" customFormat="1" ht="15" customHeight="1">
      <c r="A32" s="859" t="s">
        <v>310</v>
      </c>
      <c r="B32" s="861"/>
      <c r="C32" s="861"/>
      <c r="D32" s="861"/>
      <c r="E32" s="874"/>
      <c r="F32" s="874"/>
      <c r="G32" s="867"/>
    </row>
    <row r="33" spans="1:7" s="868" customFormat="1" ht="15" customHeight="1">
      <c r="A33" s="869" t="s">
        <v>311</v>
      </c>
      <c r="B33" s="867">
        <f>'Earned Incurred QTD-5'!B49</f>
        <v>45849.92</v>
      </c>
      <c r="C33" s="873">
        <v>0</v>
      </c>
      <c r="D33" s="867">
        <v>0</v>
      </c>
      <c r="E33" s="873">
        <v>0</v>
      </c>
      <c r="F33" s="867">
        <v>0</v>
      </c>
      <c r="G33" s="867">
        <f>SUM(B33:F33)</f>
        <v>45849.92</v>
      </c>
    </row>
    <row r="34" spans="1:8" s="868" customFormat="1" ht="15" customHeight="1">
      <c r="A34" s="869" t="s">
        <v>312</v>
      </c>
      <c r="B34" s="867">
        <v>189837.39</v>
      </c>
      <c r="C34" s="867">
        <v>0</v>
      </c>
      <c r="D34" s="867">
        <v>0</v>
      </c>
      <c r="E34" s="867">
        <v>0</v>
      </c>
      <c r="F34" s="867">
        <v>0</v>
      </c>
      <c r="G34" s="867">
        <f>SUM(B34:F34)</f>
        <v>189837.39</v>
      </c>
      <c r="H34" s="876"/>
    </row>
    <row r="35" spans="1:8" s="868" customFormat="1" ht="15" customHeight="1">
      <c r="A35" s="869" t="s">
        <v>501</v>
      </c>
      <c r="B35" s="867">
        <v>0</v>
      </c>
      <c r="C35" s="867">
        <v>504070</v>
      </c>
      <c r="D35" s="867">
        <v>0</v>
      </c>
      <c r="E35" s="867">
        <v>0</v>
      </c>
      <c r="F35" s="867">
        <v>0</v>
      </c>
      <c r="G35" s="867">
        <f>SUM(B35:F35)</f>
        <v>504070</v>
      </c>
      <c r="H35" s="876"/>
    </row>
    <row r="36" spans="1:7" s="868" customFormat="1" ht="15" customHeight="1" thickBot="1">
      <c r="A36" s="869" t="s">
        <v>296</v>
      </c>
      <c r="B36" s="871">
        <f aca="true" t="shared" si="2" ref="B36:G36">SUM(B33:B35)</f>
        <v>235687.31</v>
      </c>
      <c r="C36" s="871">
        <f t="shared" si="2"/>
        <v>504070</v>
      </c>
      <c r="D36" s="871">
        <f t="shared" si="2"/>
        <v>0</v>
      </c>
      <c r="E36" s="871">
        <f t="shared" si="2"/>
        <v>0</v>
      </c>
      <c r="F36" s="871">
        <f t="shared" si="2"/>
        <v>0</v>
      </c>
      <c r="G36" s="872">
        <f t="shared" si="2"/>
        <v>739757.31</v>
      </c>
    </row>
    <row r="37" spans="1:7" s="868" customFormat="1" ht="15" customHeight="1" thickTop="1">
      <c r="A37" s="869"/>
      <c r="B37" s="873"/>
      <c r="C37" s="873"/>
      <c r="D37" s="873"/>
      <c r="E37" s="867"/>
      <c r="F37" s="867"/>
      <c r="G37" s="879"/>
    </row>
    <row r="38" spans="1:7" s="868" customFormat="1" ht="15" customHeight="1" thickBot="1">
      <c r="A38" s="859" t="s">
        <v>313</v>
      </c>
      <c r="B38" s="878">
        <f>B24-B30+B36</f>
        <v>2721202.3099999996</v>
      </c>
      <c r="C38" s="878">
        <f>C24-C30+C36</f>
        <v>-1204764.7300000002</v>
      </c>
      <c r="D38" s="878">
        <f>D24-D30+D36</f>
        <v>-45175.6</v>
      </c>
      <c r="E38" s="878">
        <f>E24-E30+E36</f>
        <v>10243.640000000001</v>
      </c>
      <c r="F38" s="878">
        <f>F24-F30+F36</f>
        <v>-3306.18</v>
      </c>
      <c r="G38" s="872">
        <f>SUM(B38:F38)+1</f>
        <v>1478200.4399999992</v>
      </c>
    </row>
    <row r="39" spans="1:7" s="868" customFormat="1" ht="15" customHeight="1" thickTop="1">
      <c r="A39" s="869"/>
      <c r="B39" s="873"/>
      <c r="C39" s="873"/>
      <c r="D39" s="873"/>
      <c r="E39" s="867"/>
      <c r="F39" s="867"/>
      <c r="G39" s="867"/>
    </row>
    <row r="40" spans="1:7" s="868" customFormat="1" ht="15" customHeight="1">
      <c r="A40" s="880" t="s">
        <v>101</v>
      </c>
      <c r="B40" s="881"/>
      <c r="C40" s="881"/>
      <c r="D40" s="881"/>
      <c r="E40" s="867"/>
      <c r="F40" s="867"/>
      <c r="G40" s="867"/>
    </row>
    <row r="41" spans="1:7" s="868" customFormat="1" ht="15" customHeight="1">
      <c r="A41" s="869" t="s">
        <v>271</v>
      </c>
      <c r="B41" s="867">
        <f>'Equity YTD-4'!B41</f>
        <v>11919572</v>
      </c>
      <c r="C41" s="867">
        <f>'Equity YTD-4'!C41</f>
        <v>0</v>
      </c>
      <c r="D41" s="867">
        <f>'Equity YTD-4'!D41</f>
        <v>0</v>
      </c>
      <c r="E41" s="867">
        <f>'Equity YTD-4'!E41</f>
        <v>0</v>
      </c>
      <c r="F41" s="867">
        <f>'Equity YTD-4'!F41</f>
        <v>0</v>
      </c>
      <c r="G41" s="867">
        <f>SUM(B41:F41)</f>
        <v>11919572</v>
      </c>
    </row>
    <row r="42" spans="1:7" s="868" customFormat="1" ht="15" customHeight="1">
      <c r="A42" s="869" t="s">
        <v>314</v>
      </c>
      <c r="B42" s="867">
        <f>'Equity YTD-4'!B42</f>
        <v>4732722.12</v>
      </c>
      <c r="C42" s="867">
        <f>'Equity YTD-4'!C42</f>
        <v>1387504.74</v>
      </c>
      <c r="D42" s="867">
        <f>'Equity YTD-4'!D42</f>
        <v>230931</v>
      </c>
      <c r="E42" s="867">
        <f>'Equity YTD-4'!E42</f>
        <v>144281</v>
      </c>
      <c r="F42" s="867">
        <f>'Equity YTD-4'!F42</f>
        <v>17037.82</v>
      </c>
      <c r="G42" s="867">
        <f>SUM(B42:F42)</f>
        <v>6512476.680000001</v>
      </c>
    </row>
    <row r="43" spans="1:7" s="868" customFormat="1" ht="15" customHeight="1">
      <c r="A43" s="869" t="s">
        <v>315</v>
      </c>
      <c r="B43" s="867">
        <f>'Equity YTD-4'!B43</f>
        <v>427875.2200000001</v>
      </c>
      <c r="C43" s="867">
        <f>'Equity YTD-4'!C43</f>
        <v>173901.02</v>
      </c>
      <c r="D43" s="867">
        <f>'Equity YTD-4'!D43</f>
        <v>27137.45</v>
      </c>
      <c r="E43" s="867">
        <f>'Equity YTD-4'!E43</f>
        <v>9793.1</v>
      </c>
      <c r="F43" s="867">
        <f>'Equity YTD-4'!F43</f>
        <v>3873.18</v>
      </c>
      <c r="G43" s="867">
        <f>SUM(B43:F43)-1</f>
        <v>642578.9700000001</v>
      </c>
    </row>
    <row r="44" spans="1:7" s="868" customFormat="1" ht="15" customHeight="1">
      <c r="A44" s="869" t="s">
        <v>316</v>
      </c>
      <c r="B44" s="867">
        <f>'Equity YTD-4'!B44</f>
        <v>251967.98000000004</v>
      </c>
      <c r="C44" s="873">
        <f>'Equity YTD-4'!C44</f>
        <v>0</v>
      </c>
      <c r="D44" s="873">
        <f>'Equity YTD-4'!D44</f>
        <v>0</v>
      </c>
      <c r="E44" s="873">
        <f>'Equity YTD-4'!E44</f>
        <v>0</v>
      </c>
      <c r="F44" s="867">
        <f>'Equity YTD-4'!F44</f>
        <v>0</v>
      </c>
      <c r="G44" s="867">
        <f>SUM(B44:F44)</f>
        <v>251967.98000000004</v>
      </c>
    </row>
    <row r="45" spans="1:7" s="868" customFormat="1" ht="15" customHeight="1">
      <c r="A45" s="869" t="s">
        <v>317</v>
      </c>
      <c r="B45" s="867">
        <f>'Equity YTD-4'!B45</f>
        <v>61013.43</v>
      </c>
      <c r="C45" s="873">
        <f>'Equity YTD-4'!C45</f>
        <v>0</v>
      </c>
      <c r="D45" s="867">
        <f>'Equity YTD-4'!D45</f>
        <v>0</v>
      </c>
      <c r="E45" s="873">
        <f>'Equity YTD-4'!E45</f>
        <v>0</v>
      </c>
      <c r="F45" s="867">
        <f>'Equity YTD-4'!F45</f>
        <v>0</v>
      </c>
      <c r="G45" s="867">
        <f>SUM(B45:F45)</f>
        <v>61013.43</v>
      </c>
    </row>
    <row r="46" spans="1:7" s="868" customFormat="1" ht="15" customHeight="1" thickBot="1">
      <c r="A46" s="882" t="s">
        <v>296</v>
      </c>
      <c r="B46" s="871">
        <f>SUM(B41:B45)-1</f>
        <v>17393149.75</v>
      </c>
      <c r="C46" s="871">
        <f>SUM(C41:C45)</f>
        <v>1561405.76</v>
      </c>
      <c r="D46" s="871">
        <f>SUM(D41:D45)</f>
        <v>258068.45</v>
      </c>
      <c r="E46" s="871">
        <f>SUM(E41:E45)</f>
        <v>154074.1</v>
      </c>
      <c r="F46" s="871">
        <f>SUM(F41:F45)</f>
        <v>20911</v>
      </c>
      <c r="G46" s="872">
        <f>SUM(G41:G45)</f>
        <v>19387609.06</v>
      </c>
    </row>
    <row r="47" spans="1:7" s="868" customFormat="1" ht="15" customHeight="1" thickTop="1">
      <c r="A47" s="869"/>
      <c r="B47" s="873"/>
      <c r="C47" s="873"/>
      <c r="D47" s="873"/>
      <c r="E47" s="867"/>
      <c r="F47" s="867"/>
      <c r="G47" s="867"/>
    </row>
    <row r="48" spans="1:7" s="868" customFormat="1" ht="15" customHeight="1">
      <c r="A48" s="880" t="s">
        <v>102</v>
      </c>
      <c r="B48" s="881"/>
      <c r="C48" s="881"/>
      <c r="D48" s="881"/>
      <c r="E48" s="867"/>
      <c r="F48" s="867"/>
      <c r="G48" s="867"/>
    </row>
    <row r="49" spans="1:7" s="868" customFormat="1" ht="15" customHeight="1">
      <c r="A49" s="869" t="s">
        <v>271</v>
      </c>
      <c r="B49" s="867">
        <f>'Premiums QTD-7'!B23</f>
        <v>11391540</v>
      </c>
      <c r="C49" s="867">
        <f>'Premiums QTD-7'!C23</f>
        <v>648051</v>
      </c>
      <c r="D49" s="867">
        <f>'Premiums QTD-7'!D23</f>
        <v>0</v>
      </c>
      <c r="E49" s="867">
        <f>'Premiums QTD-7'!E23</f>
        <v>0</v>
      </c>
      <c r="F49" s="867">
        <f>'Premiums QTD-7'!F23</f>
        <v>0</v>
      </c>
      <c r="G49" s="867">
        <f>SUM(B49:F49)</f>
        <v>12039591</v>
      </c>
    </row>
    <row r="50" spans="1:7" s="868" customFormat="1" ht="15" customHeight="1">
      <c r="A50" s="869" t="s">
        <v>314</v>
      </c>
      <c r="B50" s="867">
        <f>'Losses Incurred QTD-9'!B32</f>
        <v>2363752.3</v>
      </c>
      <c r="C50" s="867">
        <f>'Losses Incurred QTD-9'!C32</f>
        <v>3652989.82</v>
      </c>
      <c r="D50" s="867">
        <f>'Losses Incurred QTD-9'!D32</f>
        <v>151616.29</v>
      </c>
      <c r="E50" s="867">
        <f>'Losses Incurred QTD-9'!E32</f>
        <v>151114.68999999997</v>
      </c>
      <c r="F50" s="867">
        <f>'Losses Incurred QTD-9'!F32</f>
        <v>67036.82</v>
      </c>
      <c r="G50" s="867">
        <f>SUM(B50:F50)</f>
        <v>6386509.92</v>
      </c>
    </row>
    <row r="51" spans="1:7" s="868" customFormat="1" ht="15" customHeight="1">
      <c r="A51" s="869" t="s">
        <v>318</v>
      </c>
      <c r="B51" s="867">
        <f>'Loss Expenses QTD-11'!B24</f>
        <v>501101.42000000004</v>
      </c>
      <c r="C51" s="867">
        <f>'Loss Expenses QTD-11'!C24</f>
        <v>120253.03000000001</v>
      </c>
      <c r="D51" s="867">
        <f>'Loss Expenses QTD-11'!D24</f>
        <v>41677.18</v>
      </c>
      <c r="E51" s="867">
        <f>'Loss Expenses QTD-11'!E24</f>
        <v>10973.23</v>
      </c>
      <c r="F51" s="867">
        <f>'Loss Expenses QTD-11'!F24</f>
        <v>6091.65</v>
      </c>
      <c r="G51" s="867">
        <f>SUM(B51:F51)-1</f>
        <v>680095.5100000001</v>
      </c>
    </row>
    <row r="52" spans="1:7" s="868" customFormat="1" ht="15" customHeight="1">
      <c r="A52" s="869" t="s">
        <v>316</v>
      </c>
      <c r="B52" s="867">
        <f>'Earned Incurred QTD-5'!B42</f>
        <v>321210.28</v>
      </c>
      <c r="C52" s="867">
        <v>0</v>
      </c>
      <c r="D52" s="867">
        <v>0</v>
      </c>
      <c r="E52" s="867">
        <v>0</v>
      </c>
      <c r="F52" s="867">
        <v>0</v>
      </c>
      <c r="G52" s="867">
        <f>SUM(B52:F52)</f>
        <v>321210.28</v>
      </c>
    </row>
    <row r="53" spans="1:7" s="868" customFormat="1" ht="15" customHeight="1">
      <c r="A53" s="869" t="s">
        <v>317</v>
      </c>
      <c r="B53" s="867">
        <f>'Earned Incurred QTD-5'!B34</f>
        <v>41432.32</v>
      </c>
      <c r="C53" s="867">
        <v>0</v>
      </c>
      <c r="D53" s="867">
        <v>0</v>
      </c>
      <c r="E53" s="867">
        <v>0</v>
      </c>
      <c r="F53" s="867">
        <v>0</v>
      </c>
      <c r="G53" s="867">
        <f>SUM(B53:F53)</f>
        <v>41432.32</v>
      </c>
    </row>
    <row r="54" spans="1:7" s="868" customFormat="1" ht="15" customHeight="1" thickBot="1">
      <c r="A54" s="869" t="s">
        <v>296</v>
      </c>
      <c r="B54" s="871">
        <f>SUM(B49:B53)-1</f>
        <v>14619035.32</v>
      </c>
      <c r="C54" s="871">
        <f>SUM(C49:C53)</f>
        <v>4421293.850000001</v>
      </c>
      <c r="D54" s="871">
        <f>SUM(D49:D53)</f>
        <v>193293.47</v>
      </c>
      <c r="E54" s="871">
        <f>SUM(E49:E53)</f>
        <v>162087.91999999998</v>
      </c>
      <c r="F54" s="871">
        <f>SUM(F49:F53)+1</f>
        <v>73129.47</v>
      </c>
      <c r="G54" s="872">
        <f>SUM(B54:F54)-1</f>
        <v>19468839.03</v>
      </c>
    </row>
    <row r="55" spans="1:7" s="868" customFormat="1" ht="15" customHeight="1" thickTop="1">
      <c r="A55" s="869"/>
      <c r="B55" s="873"/>
      <c r="C55" s="873"/>
      <c r="D55" s="873"/>
      <c r="E55" s="873"/>
      <c r="F55" s="873"/>
      <c r="G55" s="488" t="s">
        <v>93</v>
      </c>
    </row>
    <row r="56" spans="1:8" s="868" customFormat="1" ht="15" customHeight="1" thickBot="1">
      <c r="A56" s="877" t="s">
        <v>319</v>
      </c>
      <c r="B56" s="883">
        <f>B38-B46+B54-1</f>
        <v>-52913.12000000104</v>
      </c>
      <c r="C56" s="883">
        <f>C38-C46+C54</f>
        <v>1655123.3600000003</v>
      </c>
      <c r="D56" s="883">
        <f>D38-D46+D54</f>
        <v>-109950.57999999999</v>
      </c>
      <c r="E56" s="883">
        <f>E38-E46+E54+1</f>
        <v>18258.459999999992</v>
      </c>
      <c r="F56" s="883">
        <f>F38-F46+F54</f>
        <v>48912.29</v>
      </c>
      <c r="G56" s="883">
        <f>G38-G46+G54</f>
        <v>1559430.4100000001</v>
      </c>
      <c r="H56" s="876"/>
    </row>
    <row r="57" spans="1:8" s="868" customFormat="1" ht="15" customHeight="1" thickTop="1">
      <c r="A57" s="869"/>
      <c r="B57" s="876"/>
      <c r="C57" s="876"/>
      <c r="D57" s="873"/>
      <c r="E57" s="873"/>
      <c r="F57" s="873"/>
      <c r="G57" s="796"/>
      <c r="H57" s="876"/>
    </row>
    <row r="58" spans="1:7" s="868" customFormat="1" ht="15" customHeight="1">
      <c r="A58" s="869"/>
      <c r="B58" s="876"/>
      <c r="C58" s="876"/>
      <c r="D58" s="873"/>
      <c r="E58" s="873"/>
      <c r="F58" s="873"/>
      <c r="G58" s="796"/>
    </row>
    <row r="59" spans="1:7" s="868" customFormat="1" ht="15" customHeight="1">
      <c r="A59" s="869"/>
      <c r="B59" s="876"/>
      <c r="C59" s="876"/>
      <c r="D59" s="873"/>
      <c r="E59" s="873"/>
      <c r="F59" s="873"/>
      <c r="G59" s="873"/>
    </row>
    <row r="60" spans="2:7" s="868" customFormat="1" ht="15" customHeight="1">
      <c r="B60" s="876"/>
      <c r="C60" s="876"/>
      <c r="D60" s="873"/>
      <c r="E60" s="873"/>
      <c r="F60" s="873"/>
      <c r="G60" s="873"/>
    </row>
    <row r="61" spans="2:7" s="868" customFormat="1" ht="15" customHeight="1">
      <c r="B61" s="876"/>
      <c r="C61" s="876"/>
      <c r="D61" s="873"/>
      <c r="E61" s="873"/>
      <c r="F61" s="873"/>
      <c r="G61" s="873"/>
    </row>
    <row r="62" spans="2:7" s="868" customFormat="1" ht="15" customHeight="1">
      <c r="B62" s="876"/>
      <c r="C62" s="876"/>
      <c r="D62" s="873"/>
      <c r="E62" s="873"/>
      <c r="F62" s="873"/>
      <c r="G62" s="873"/>
    </row>
    <row r="63" spans="1:7" s="868" customFormat="1" ht="15" customHeight="1">
      <c r="A63" s="864"/>
      <c r="B63" s="884"/>
      <c r="C63" s="884"/>
      <c r="D63" s="873"/>
      <c r="E63" s="873"/>
      <c r="F63" s="873"/>
      <c r="G63" s="873"/>
    </row>
    <row r="64" spans="2:7" s="868" customFormat="1" ht="15" customHeight="1">
      <c r="B64" s="876"/>
      <c r="C64" s="876"/>
      <c r="D64" s="873"/>
      <c r="E64" s="873"/>
      <c r="F64" s="873"/>
      <c r="G64" s="488"/>
    </row>
    <row r="65" spans="2:7" s="868" customFormat="1" ht="15" customHeight="1">
      <c r="B65" s="876"/>
      <c r="C65" s="876"/>
      <c r="D65" s="873"/>
      <c r="E65" s="873"/>
      <c r="F65" s="873"/>
      <c r="G65" s="488"/>
    </row>
    <row r="66" spans="2:7" s="868" customFormat="1" ht="15" customHeight="1">
      <c r="B66" s="876"/>
      <c r="C66" s="876"/>
      <c r="D66" s="873"/>
      <c r="E66" s="873"/>
      <c r="F66" s="873"/>
      <c r="G66" s="488"/>
    </row>
    <row r="67" spans="2:7" s="868" customFormat="1" ht="15" customHeight="1">
      <c r="B67" s="876"/>
      <c r="C67" s="876"/>
      <c r="D67" s="873"/>
      <c r="E67" s="873"/>
      <c r="F67" s="873"/>
      <c r="G67" s="488"/>
    </row>
    <row r="68" spans="2:7" s="868" customFormat="1" ht="15" customHeight="1">
      <c r="B68" s="876"/>
      <c r="C68" s="876"/>
      <c r="D68" s="873"/>
      <c r="E68" s="873"/>
      <c r="F68" s="873"/>
      <c r="G68" s="488"/>
    </row>
    <row r="69" spans="2:7" s="868" customFormat="1" ht="15" customHeight="1">
      <c r="B69" s="876"/>
      <c r="C69" s="876"/>
      <c r="D69" s="873"/>
      <c r="E69" s="873"/>
      <c r="F69" s="873"/>
      <c r="G69" s="488"/>
    </row>
    <row r="70" spans="2:7" s="868" customFormat="1" ht="15" customHeight="1">
      <c r="B70" s="876"/>
      <c r="C70" s="876"/>
      <c r="D70" s="873"/>
      <c r="E70" s="873"/>
      <c r="F70" s="873"/>
      <c r="G70" s="488"/>
    </row>
    <row r="71" spans="2:7" s="868" customFormat="1" ht="15" customHeight="1">
      <c r="B71" s="876"/>
      <c r="C71" s="876"/>
      <c r="D71" s="873"/>
      <c r="E71" s="873"/>
      <c r="F71" s="873"/>
      <c r="G71" s="488"/>
    </row>
    <row r="72" spans="2:7" s="868" customFormat="1" ht="15" customHeight="1">
      <c r="B72" s="876"/>
      <c r="C72" s="876"/>
      <c r="D72" s="873"/>
      <c r="E72" s="873"/>
      <c r="F72" s="873"/>
      <c r="G72" s="488"/>
    </row>
    <row r="73" spans="2:7" s="868" customFormat="1" ht="15" customHeight="1">
      <c r="B73" s="876"/>
      <c r="C73" s="876"/>
      <c r="D73" s="873"/>
      <c r="E73" s="873"/>
      <c r="F73" s="873"/>
      <c r="G73" s="488"/>
    </row>
    <row r="74" spans="2:7" s="868" customFormat="1" ht="15" customHeight="1">
      <c r="B74" s="876"/>
      <c r="C74" s="876"/>
      <c r="D74" s="873"/>
      <c r="E74" s="873"/>
      <c r="F74" s="873"/>
      <c r="G74" s="488"/>
    </row>
    <row r="75" spans="2:7" s="868" customFormat="1" ht="15" customHeight="1">
      <c r="B75" s="876"/>
      <c r="C75" s="876"/>
      <c r="D75" s="873"/>
      <c r="E75" s="873"/>
      <c r="F75" s="873"/>
      <c r="G75" s="488"/>
    </row>
    <row r="76" spans="2:7" s="868" customFormat="1" ht="15" customHeight="1">
      <c r="B76" s="876"/>
      <c r="C76" s="876"/>
      <c r="D76" s="873"/>
      <c r="E76" s="873"/>
      <c r="F76" s="873"/>
      <c r="G76" s="488"/>
    </row>
    <row r="77" spans="2:7" s="868" customFormat="1" ht="15" customHeight="1">
      <c r="B77" s="876"/>
      <c r="C77" s="876"/>
      <c r="D77" s="873"/>
      <c r="E77" s="873"/>
      <c r="F77" s="873"/>
      <c r="G77" s="488"/>
    </row>
    <row r="78" spans="2:7" s="868" customFormat="1" ht="15" customHeight="1">
      <c r="B78" s="876"/>
      <c r="C78" s="876"/>
      <c r="D78" s="873"/>
      <c r="E78" s="873"/>
      <c r="F78" s="873"/>
      <c r="G78" s="488"/>
    </row>
    <row r="79" spans="2:7" s="868" customFormat="1" ht="15" customHeight="1">
      <c r="B79" s="876"/>
      <c r="C79" s="876"/>
      <c r="D79" s="873"/>
      <c r="E79" s="873"/>
      <c r="F79" s="873"/>
      <c r="G79" s="488"/>
    </row>
    <row r="80" spans="2:7" s="868" customFormat="1" ht="15" customHeight="1">
      <c r="B80" s="876"/>
      <c r="C80" s="876"/>
      <c r="D80" s="873"/>
      <c r="E80" s="873"/>
      <c r="F80" s="873"/>
      <c r="G80" s="488"/>
    </row>
    <row r="81" spans="2:7" s="868" customFormat="1" ht="15" customHeight="1">
      <c r="B81" s="876"/>
      <c r="C81" s="876"/>
      <c r="D81" s="873"/>
      <c r="E81" s="873"/>
      <c r="F81" s="873"/>
      <c r="G81" s="488"/>
    </row>
    <row r="82" spans="2:7" s="868" customFormat="1" ht="15" customHeight="1">
      <c r="B82" s="876"/>
      <c r="C82" s="876"/>
      <c r="D82" s="873"/>
      <c r="E82" s="873"/>
      <c r="F82" s="873"/>
      <c r="G82" s="488"/>
    </row>
    <row r="83" spans="2:7" s="868" customFormat="1" ht="15" customHeight="1">
      <c r="B83" s="876"/>
      <c r="C83" s="876"/>
      <c r="D83" s="873"/>
      <c r="E83" s="873"/>
      <c r="F83" s="873"/>
      <c r="G83" s="488"/>
    </row>
    <row r="84" spans="2:7" s="868" customFormat="1" ht="15" customHeight="1">
      <c r="B84" s="876"/>
      <c r="C84" s="876"/>
      <c r="D84" s="873"/>
      <c r="E84" s="873"/>
      <c r="F84" s="873"/>
      <c r="G84" s="488"/>
    </row>
    <row r="85" spans="2:7" s="868" customFormat="1" ht="15" customHeight="1">
      <c r="B85" s="876"/>
      <c r="C85" s="876"/>
      <c r="D85" s="873"/>
      <c r="E85" s="873"/>
      <c r="F85" s="873"/>
      <c r="G85" s="488"/>
    </row>
    <row r="86" spans="2:7" s="868" customFormat="1" ht="15" customHeight="1">
      <c r="B86" s="876"/>
      <c r="C86" s="876"/>
      <c r="D86" s="873"/>
      <c r="E86" s="873"/>
      <c r="F86" s="873"/>
      <c r="G86" s="488"/>
    </row>
    <row r="87" spans="2:7" s="868" customFormat="1" ht="15" customHeight="1">
      <c r="B87" s="876"/>
      <c r="C87" s="876"/>
      <c r="D87" s="873"/>
      <c r="E87" s="873"/>
      <c r="F87" s="873"/>
      <c r="G87" s="488"/>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7.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0" t="s">
        <v>258</v>
      </c>
      <c r="B1" s="970"/>
      <c r="C1" s="970"/>
      <c r="D1" s="970"/>
      <c r="E1" s="970"/>
      <c r="F1" s="970"/>
      <c r="G1" s="970"/>
      <c r="H1" s="241"/>
    </row>
    <row r="2" spans="1:8" s="27" customFormat="1" ht="18.75">
      <c r="A2" s="971"/>
      <c r="B2" s="971"/>
      <c r="C2" s="971"/>
      <c r="D2" s="971"/>
      <c r="E2" s="971"/>
      <c r="F2" s="971"/>
      <c r="G2" s="971"/>
      <c r="H2" s="1"/>
    </row>
    <row r="3" spans="1:8" s="29" customFormat="1" ht="18.75">
      <c r="A3" s="972" t="s">
        <v>291</v>
      </c>
      <c r="B3" s="972"/>
      <c r="C3" s="972"/>
      <c r="D3" s="972"/>
      <c r="E3" s="972"/>
      <c r="F3" s="972"/>
      <c r="G3" s="972"/>
      <c r="H3" s="28"/>
    </row>
    <row r="4" spans="1:8" s="29" customFormat="1" ht="18.75">
      <c r="A4" s="972" t="s">
        <v>11</v>
      </c>
      <c r="B4" s="972"/>
      <c r="C4" s="972"/>
      <c r="D4" s="972"/>
      <c r="E4" s="972"/>
      <c r="F4" s="972"/>
      <c r="G4" s="972"/>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42</v>
      </c>
      <c r="C7" s="394" t="s">
        <v>46</v>
      </c>
      <c r="D7" s="394" t="s">
        <v>147</v>
      </c>
      <c r="E7" s="394" t="s">
        <v>220</v>
      </c>
      <c r="F7" s="394" t="s">
        <v>98</v>
      </c>
      <c r="G7" s="394" t="s">
        <v>259</v>
      </c>
      <c r="H7" s="384"/>
      <c r="I7" s="32" t="s">
        <v>136</v>
      </c>
    </row>
    <row r="8" spans="1:8" s="34" customFormat="1" ht="12.75">
      <c r="A8" s="395" t="s">
        <v>293</v>
      </c>
      <c r="B8" s="396"/>
      <c r="C8" s="396"/>
      <c r="D8" s="396"/>
      <c r="E8" s="396"/>
      <c r="F8" s="396"/>
      <c r="G8" s="397"/>
      <c r="H8" s="33"/>
    </row>
    <row r="9" spans="1:9" ht="12.75">
      <c r="A9" s="398" t="s">
        <v>294</v>
      </c>
      <c r="B9" s="508">
        <f>'(7)Premiums YTD8'!B12</f>
        <v>118640</v>
      </c>
      <c r="C9" s="508">
        <f>'(7)Premiums YTD8'!C12</f>
        <v>-4078</v>
      </c>
      <c r="D9" s="508">
        <f>'(7)Premiums YTD8'!D12</f>
        <v>0</v>
      </c>
      <c r="E9" s="508" t="e">
        <f>'(7)Premiums YTD8'!E12</f>
        <v>#REF!</v>
      </c>
      <c r="F9" s="575" t="e">
        <f>'(7)Premiums YTD8'!F12</f>
        <v>#REF!</v>
      </c>
      <c r="G9" s="509" t="e">
        <f>SUM(B9:F9)</f>
        <v>#REF!</v>
      </c>
      <c r="H9" s="35" t="e">
        <f>SUM(G9)</f>
        <v>#REF!</v>
      </c>
      <c r="I9" s="31">
        <v>8</v>
      </c>
    </row>
    <row r="10" spans="1:9" ht="12.75">
      <c r="A10" s="398" t="s">
        <v>295</v>
      </c>
      <c r="B10" s="497">
        <f>'(8)Earned Incurred YTD6'!C48</f>
        <v>44581.64</v>
      </c>
      <c r="C10" s="497">
        <f>'(8)Earned Incurred YTD6'!D48</f>
        <v>0</v>
      </c>
      <c r="D10" s="497">
        <v>0</v>
      </c>
      <c r="E10" s="497">
        <v>0</v>
      </c>
      <c r="F10" s="497">
        <v>0</v>
      </c>
      <c r="G10" s="498">
        <f>SUM(B10:F10)</f>
        <v>44581.64</v>
      </c>
      <c r="H10" s="36">
        <f>+'(8)Earned Incurred YTD6'!C48</f>
        <v>44581.64</v>
      </c>
      <c r="I10" s="31">
        <v>6</v>
      </c>
    </row>
    <row r="11" spans="1:8" ht="12.75">
      <c r="A11" s="356" t="s">
        <v>296</v>
      </c>
      <c r="B11" s="499">
        <f aca="true" t="shared" si="0" ref="B11:G11">SUM(B9:B10)</f>
        <v>163221.64</v>
      </c>
      <c r="C11" s="499">
        <f t="shared" si="0"/>
        <v>-4078</v>
      </c>
      <c r="D11" s="499">
        <f t="shared" si="0"/>
        <v>0</v>
      </c>
      <c r="E11" s="499" t="e">
        <f t="shared" si="0"/>
        <v>#REF!</v>
      </c>
      <c r="F11" s="499" t="e">
        <f t="shared" si="0"/>
        <v>#REF!</v>
      </c>
      <c r="G11" s="500" t="e">
        <f t="shared" si="0"/>
        <v>#REF!</v>
      </c>
      <c r="H11" s="39"/>
    </row>
    <row r="12" spans="1:8" ht="12.75">
      <c r="A12" s="356"/>
      <c r="B12" s="497"/>
      <c r="C12" s="497"/>
      <c r="D12" s="497"/>
      <c r="E12" s="497"/>
      <c r="F12" s="497"/>
      <c r="G12" s="497"/>
      <c r="H12" s="37"/>
    </row>
    <row r="13" spans="1:8" ht="12.75">
      <c r="A13" s="395" t="s">
        <v>297</v>
      </c>
      <c r="B13" s="504"/>
      <c r="C13" s="504"/>
      <c r="D13" s="504"/>
      <c r="E13" s="504"/>
      <c r="F13" s="504"/>
      <c r="G13" s="497"/>
      <c r="H13" s="37"/>
    </row>
    <row r="14" spans="1:10" ht="12.75">
      <c r="A14" s="356" t="s">
        <v>298</v>
      </c>
      <c r="B14" s="497">
        <f>+'(6)Losses Incurred YTD10'!B12</f>
        <v>2255791.24</v>
      </c>
      <c r="C14" s="497" t="e">
        <f>+'(6)Losses Incurred YTD10'!C12</f>
        <v>#REF!</v>
      </c>
      <c r="D14" s="497" t="e">
        <f>+'(6)Losses Incurred YTD10'!D12</f>
        <v>#REF!</v>
      </c>
      <c r="E14" s="497">
        <f>+'(6)Losses Incurred YTD10'!E12</f>
        <v>59250</v>
      </c>
      <c r="F14" s="497" t="e">
        <f>'(6)Losses Incurred YTD10'!F12</f>
        <v>#REF!</v>
      </c>
      <c r="G14" s="501" t="e">
        <f>SUM(B14:F14)-1</f>
        <v>#REF!</v>
      </c>
      <c r="H14" s="36" t="e">
        <f>+'(6)Losses Incurred YTD10'!H12</f>
        <v>#REF!</v>
      </c>
      <c r="I14" s="31">
        <v>10</v>
      </c>
      <c r="J14" s="116" t="e">
        <f>+G14-H14</f>
        <v>#REF!</v>
      </c>
    </row>
    <row r="15" spans="1:9" ht="12.75">
      <c r="A15" s="356" t="s">
        <v>299</v>
      </c>
      <c r="B15" s="497">
        <f>+'(1)ULEP-YTD17'!B44</f>
        <v>210128.8</v>
      </c>
      <c r="C15" s="497">
        <f>+'(1)ULEP-YTD17'!B38</f>
        <v>77522.81</v>
      </c>
      <c r="D15" s="497">
        <f>+'(1)ULEP-YTD17'!B32</f>
        <v>982.14</v>
      </c>
      <c r="E15" s="497">
        <f>+'(1)ULEP-YTD17'!B26</f>
        <v>605.69</v>
      </c>
      <c r="F15" s="497" t="e">
        <f>+'(1)ULEP-YTD17'!B20</f>
        <v>#REF!</v>
      </c>
      <c r="G15" s="501" t="e">
        <f aca="true" t="shared" si="1" ref="G15:G22">SUM(B15:F15)</f>
        <v>#REF!</v>
      </c>
      <c r="H15" s="36" t="e">
        <f>+'(1)ULEP-YTD17'!G49</f>
        <v>#REF!</v>
      </c>
      <c r="I15" s="31">
        <v>17</v>
      </c>
    </row>
    <row r="16" spans="1:9" ht="12.75">
      <c r="A16" s="356" t="s">
        <v>300</v>
      </c>
      <c r="B16" s="497">
        <f>+'(1)ULEP-YTD17'!F44</f>
        <v>84007.43000000001</v>
      </c>
      <c r="C16" s="497">
        <f>+'(1)ULEP-YTD17'!F38</f>
        <v>53685.96</v>
      </c>
      <c r="D16" s="497">
        <f>+'(1)ULEP-YTD17'!F32</f>
        <v>1103.4799999999998</v>
      </c>
      <c r="E16" s="497">
        <f>+'(1)ULEP-YTD17'!F26</f>
        <v>2206.52</v>
      </c>
      <c r="F16" s="497" t="e">
        <f>+'(1)ULEP-YTD17'!F20</f>
        <v>#REF!</v>
      </c>
      <c r="G16" s="501" t="e">
        <f t="shared" si="1"/>
        <v>#REF!</v>
      </c>
      <c r="H16" s="36" t="e">
        <f>+G16+G15</f>
        <v>#REF!</v>
      </c>
      <c r="I16" s="31">
        <v>17</v>
      </c>
    </row>
    <row r="17" spans="1:9" ht="12.75">
      <c r="A17" s="356" t="s">
        <v>301</v>
      </c>
      <c r="B17" s="497">
        <f>+'[1]TB03-31-04(Final)'!G635</f>
        <v>12016.59</v>
      </c>
      <c r="C17" s="497">
        <v>0</v>
      </c>
      <c r="D17" s="497">
        <v>0</v>
      </c>
      <c r="E17" s="497">
        <v>0</v>
      </c>
      <c r="F17" s="348">
        <v>0</v>
      </c>
      <c r="G17" s="501">
        <f t="shared" si="1"/>
        <v>12016.59</v>
      </c>
      <c r="H17" s="358">
        <f>+'(8)Earned Incurred YTD6'!C38</f>
        <v>108491.93</v>
      </c>
      <c r="I17" s="38">
        <v>62000</v>
      </c>
    </row>
    <row r="18" spans="1:10" ht="12.75">
      <c r="A18" s="400" t="s">
        <v>302</v>
      </c>
      <c r="B18" s="497">
        <f>+'[1]TB03-31-04(Final)'!G647</f>
        <v>92969.09</v>
      </c>
      <c r="C18" s="497">
        <v>0</v>
      </c>
      <c r="D18" s="497">
        <v>0</v>
      </c>
      <c r="E18" s="497">
        <v>0</v>
      </c>
      <c r="F18" s="497">
        <v>0</v>
      </c>
      <c r="G18" s="501">
        <f t="shared" si="1"/>
        <v>92969.09</v>
      </c>
      <c r="H18" s="36">
        <f>+G17+G18+G20</f>
        <v>108491.93</v>
      </c>
      <c r="I18" s="38">
        <v>65000</v>
      </c>
      <c r="J18" s="116">
        <f>+H17-H18</f>
        <v>0</v>
      </c>
    </row>
    <row r="19" spans="1:10" ht="12.75">
      <c r="A19" s="400" t="s">
        <v>303</v>
      </c>
      <c r="B19" s="348" t="e">
        <f>+'(8)Earned Incurred YTD6'!D37-C19-D19-E19</f>
        <v>#REF!</v>
      </c>
      <c r="C19" s="348">
        <f>+'[1]TB03-31-04(Final)'!F626+'[1]TB03-31-04(Final)'!F620+'[1]TB03-31-04(Final)'!F612+'[1]TB03-31-04(Final)'!F603+'[1]TB03-31-04(Final)'!F595+'[1]TB03-31-04(Final)'!F586</f>
        <v>-369.1</v>
      </c>
      <c r="D19" s="497">
        <f>+'[1]TB03-31-04(Final)'!G585</f>
        <v>0</v>
      </c>
      <c r="E19" s="497" t="e">
        <f>+'[1]TB03-31-04(Final)'!F584+'[1]TB03-31-04(Final)'!F593+'[1]TB03-31-04(Final)'!F601-'[1]TB03-31-04(Final)'!F610</f>
        <v>#REF!</v>
      </c>
      <c r="F19" s="608">
        <v>0</v>
      </c>
      <c r="G19" s="501" t="e">
        <f>SUM(B19:F19)</f>
        <v>#REF!</v>
      </c>
      <c r="H19" s="36">
        <f>+'[1]TB03-31-04(Final)'!G630</f>
        <v>528557.35</v>
      </c>
      <c r="I19" s="31" t="s">
        <v>137</v>
      </c>
      <c r="J19" s="116" t="e">
        <f>+G19-H19</f>
        <v>#REF!</v>
      </c>
    </row>
    <row r="20" spans="1:9" ht="12.75">
      <c r="A20" s="356" t="s">
        <v>304</v>
      </c>
      <c r="B20" s="497">
        <f>+'[1]TB03-31-04(Final)'!G639</f>
        <v>3506.25</v>
      </c>
      <c r="C20" s="497">
        <v>0</v>
      </c>
      <c r="D20" s="497">
        <v>0</v>
      </c>
      <c r="E20" s="497">
        <v>0</v>
      </c>
      <c r="F20" s="348">
        <v>0</v>
      </c>
      <c r="G20" s="501">
        <f t="shared" si="1"/>
        <v>3506.25</v>
      </c>
      <c r="H20" s="358">
        <f>+G20+G18+G17</f>
        <v>108491.93</v>
      </c>
      <c r="I20" s="38">
        <v>63000</v>
      </c>
    </row>
    <row r="21" spans="1:10" ht="12.75">
      <c r="A21" s="356" t="s">
        <v>305</v>
      </c>
      <c r="B21" s="497">
        <f>+'(8)Earned Incurred YTD6'!C39</f>
        <v>995251.8099999997</v>
      </c>
      <c r="C21" s="497">
        <f>+'(8)Earned Incurred YTD6'!D39</f>
        <v>0</v>
      </c>
      <c r="D21" s="497">
        <v>0</v>
      </c>
      <c r="E21" s="497">
        <v>0</v>
      </c>
      <c r="F21" s="348">
        <v>0</v>
      </c>
      <c r="G21" s="501">
        <f t="shared" si="1"/>
        <v>995251.8099999997</v>
      </c>
      <c r="H21" s="36"/>
      <c r="I21" s="31">
        <v>5</v>
      </c>
      <c r="J21" s="357">
        <f>+G21-H21</f>
        <v>995251.8099999997</v>
      </c>
    </row>
    <row r="22" spans="1:9" ht="12.75">
      <c r="A22" s="356" t="s">
        <v>272</v>
      </c>
      <c r="B22" s="497">
        <f>23108.63+20347.1+10350+600</f>
        <v>54405.729999999996</v>
      </c>
      <c r="C22" s="497">
        <f>20700+6478.27+1200</f>
        <v>28378.27</v>
      </c>
      <c r="D22" s="497">
        <v>0</v>
      </c>
      <c r="E22" s="502">
        <v>0</v>
      </c>
      <c r="F22" s="348">
        <v>0</v>
      </c>
      <c r="G22" s="501">
        <f t="shared" si="1"/>
        <v>82784</v>
      </c>
      <c r="H22" s="37">
        <f>+'(8)Earned Incurred YTD6'!C31</f>
        <v>82784</v>
      </c>
      <c r="I22" s="31">
        <v>6</v>
      </c>
    </row>
    <row r="23" spans="1:8" ht="12.75">
      <c r="A23" s="356" t="s">
        <v>296</v>
      </c>
      <c r="B23" s="499" t="e">
        <f aca="true" t="shared" si="2" ref="B23:G23">SUM(B14:B22)</f>
        <v>#REF!</v>
      </c>
      <c r="C23" s="499" t="e">
        <f t="shared" si="2"/>
        <v>#REF!</v>
      </c>
      <c r="D23" s="499" t="e">
        <f t="shared" si="2"/>
        <v>#REF!</v>
      </c>
      <c r="E23" s="499" t="e">
        <f t="shared" si="2"/>
        <v>#REF!</v>
      </c>
      <c r="F23" s="499" t="e">
        <f>SUM(F14:F22)</f>
        <v>#REF!</v>
      </c>
      <c r="G23" s="500" t="e">
        <f t="shared" si="2"/>
        <v>#REF!</v>
      </c>
      <c r="H23" s="143" t="e">
        <f>SUM(G14:G22)</f>
        <v>#REF!</v>
      </c>
    </row>
    <row r="24" spans="1:8" ht="12.75">
      <c r="A24" s="356"/>
      <c r="B24" s="497"/>
      <c r="C24" s="497"/>
      <c r="D24" s="497"/>
      <c r="E24" s="497"/>
      <c r="F24" s="497"/>
      <c r="G24" s="497"/>
      <c r="H24" s="37"/>
    </row>
    <row r="25" spans="1:8" ht="12.75">
      <c r="A25" s="401" t="s">
        <v>306</v>
      </c>
      <c r="B25" s="503" t="e">
        <f aca="true" t="shared" si="3" ref="B25:G25">B11-B23</f>
        <v>#REF!</v>
      </c>
      <c r="C25" s="503" t="e">
        <f>C11-C23</f>
        <v>#REF!</v>
      </c>
      <c r="D25" s="503" t="e">
        <f t="shared" si="3"/>
        <v>#REF!</v>
      </c>
      <c r="E25" s="503" t="e">
        <f t="shared" si="3"/>
        <v>#REF!</v>
      </c>
      <c r="F25" s="503" t="e">
        <f t="shared" si="3"/>
        <v>#REF!</v>
      </c>
      <c r="G25" s="500" t="e">
        <f t="shared" si="3"/>
        <v>#REF!</v>
      </c>
      <c r="H25" s="143"/>
    </row>
    <row r="26" spans="1:8" ht="16.5" customHeight="1">
      <c r="A26" s="356"/>
      <c r="B26" s="497"/>
      <c r="C26" s="497"/>
      <c r="D26" s="497"/>
      <c r="E26" s="497"/>
      <c r="F26" s="497"/>
      <c r="G26" s="497"/>
      <c r="H26" s="37"/>
    </row>
    <row r="27" spans="1:8" ht="12.75">
      <c r="A27" s="395" t="s">
        <v>307</v>
      </c>
      <c r="B27" s="504"/>
      <c r="C27" s="504"/>
      <c r="D27" s="504"/>
      <c r="E27" s="504"/>
      <c r="F27" s="504"/>
      <c r="G27" s="497"/>
      <c r="H27" s="37"/>
    </row>
    <row r="28" spans="1:8" ht="12.75">
      <c r="A28" s="356" t="s">
        <v>308</v>
      </c>
      <c r="B28" s="497">
        <v>0</v>
      </c>
      <c r="C28" s="497">
        <v>17084</v>
      </c>
      <c r="D28" s="497">
        <v>0</v>
      </c>
      <c r="E28" s="497">
        <v>0</v>
      </c>
      <c r="F28" s="497">
        <v>0</v>
      </c>
      <c r="G28" s="501">
        <f>SUM(B28:F28)</f>
        <v>17084</v>
      </c>
      <c r="H28" s="37"/>
    </row>
    <row r="29" spans="1:8" ht="12.75">
      <c r="A29" s="356" t="s">
        <v>309</v>
      </c>
      <c r="B29" s="497">
        <f>'Balance Sheet-1'!D15</f>
        <v>326387.48000000004</v>
      </c>
      <c r="C29" s="497">
        <v>0</v>
      </c>
      <c r="D29" s="497">
        <v>0</v>
      </c>
      <c r="E29" s="497">
        <v>0</v>
      </c>
      <c r="F29" s="497">
        <v>0</v>
      </c>
      <c r="G29" s="501">
        <f>SUM(B29:F29)</f>
        <v>326387.48000000004</v>
      </c>
      <c r="H29" s="37"/>
    </row>
    <row r="30" spans="1:8" ht="12.75" hidden="1">
      <c r="A30" s="356" t="s">
        <v>70</v>
      </c>
      <c r="B30" s="497">
        <v>0</v>
      </c>
      <c r="C30" s="497">
        <v>0</v>
      </c>
      <c r="D30" s="497">
        <v>0</v>
      </c>
      <c r="E30" s="497">
        <v>0</v>
      </c>
      <c r="F30" s="497">
        <v>0</v>
      </c>
      <c r="G30" s="501">
        <f>SUM(B30:F30)</f>
        <v>0</v>
      </c>
      <c r="H30" s="37" t="s">
        <v>33</v>
      </c>
    </row>
    <row r="31" spans="1:8" ht="12.75">
      <c r="A31" s="356" t="s">
        <v>296</v>
      </c>
      <c r="B31" s="499">
        <f aca="true" t="shared" si="4" ref="B31:G31">SUM(B28:B30)</f>
        <v>326387.48000000004</v>
      </c>
      <c r="C31" s="499">
        <f t="shared" si="4"/>
        <v>17084</v>
      </c>
      <c r="D31" s="499">
        <f t="shared" si="4"/>
        <v>0</v>
      </c>
      <c r="E31" s="499">
        <f t="shared" si="4"/>
        <v>0</v>
      </c>
      <c r="F31" s="499">
        <f t="shared" si="4"/>
        <v>0</v>
      </c>
      <c r="G31" s="500">
        <f t="shared" si="4"/>
        <v>343471.48000000004</v>
      </c>
      <c r="H31" s="39"/>
    </row>
    <row r="32" spans="1:8" ht="12.75">
      <c r="A32" s="356"/>
      <c r="B32" s="497"/>
      <c r="C32" s="497"/>
      <c r="D32" s="497"/>
      <c r="E32" s="497"/>
      <c r="F32" s="497"/>
      <c r="G32" s="497"/>
      <c r="H32" s="37"/>
    </row>
    <row r="33" spans="1:8" ht="12.75">
      <c r="A33" s="395" t="s">
        <v>310</v>
      </c>
      <c r="B33" s="504"/>
      <c r="C33" s="504"/>
      <c r="D33" s="504"/>
      <c r="E33" s="504"/>
      <c r="F33" s="504"/>
      <c r="G33" s="497"/>
      <c r="H33" s="37"/>
    </row>
    <row r="34" spans="1:8" ht="12.75">
      <c r="A34" s="356" t="s">
        <v>311</v>
      </c>
      <c r="B34" s="497">
        <f>'(8)Earned Incurred YTD6'!B49</f>
        <v>10038.47</v>
      </c>
      <c r="C34" s="497">
        <f>'(8)Earned Incurred YTD6'!C49</f>
        <v>0</v>
      </c>
      <c r="D34" s="497">
        <v>0</v>
      </c>
      <c r="E34" s="497">
        <v>0</v>
      </c>
      <c r="F34" s="497">
        <v>0</v>
      </c>
      <c r="G34" s="501">
        <f>SUM(B34:F34)</f>
        <v>10038.47</v>
      </c>
      <c r="H34" s="37">
        <f>-G28+G34</f>
        <v>-7045.530000000001</v>
      </c>
    </row>
    <row r="35" spans="1:8" ht="12.75">
      <c r="A35" s="356" t="s">
        <v>312</v>
      </c>
      <c r="B35" s="497">
        <v>0</v>
      </c>
      <c r="C35" s="497">
        <v>282394</v>
      </c>
      <c r="D35" s="497">
        <v>0</v>
      </c>
      <c r="E35" s="497">
        <v>0</v>
      </c>
      <c r="F35" s="497">
        <v>0</v>
      </c>
      <c r="G35" s="501">
        <f>SUM(B35:F35)</f>
        <v>282394</v>
      </c>
      <c r="H35" s="37"/>
    </row>
    <row r="36" spans="1:8" ht="12.75" hidden="1">
      <c r="A36" s="356"/>
      <c r="B36" s="497"/>
      <c r="C36" s="497"/>
      <c r="D36" s="497"/>
      <c r="E36" s="497"/>
      <c r="F36" s="497"/>
      <c r="G36" s="501"/>
      <c r="H36" s="37"/>
    </row>
    <row r="37" spans="1:8" ht="12.75">
      <c r="A37" s="356" t="s">
        <v>296</v>
      </c>
      <c r="B37" s="499">
        <f aca="true" t="shared" si="5" ref="B37:G37">SUM(B34:B36)</f>
        <v>10038.47</v>
      </c>
      <c r="C37" s="499">
        <f t="shared" si="5"/>
        <v>282394</v>
      </c>
      <c r="D37" s="499">
        <f t="shared" si="5"/>
        <v>0</v>
      </c>
      <c r="E37" s="499">
        <f t="shared" si="5"/>
        <v>0</v>
      </c>
      <c r="F37" s="499">
        <f t="shared" si="5"/>
        <v>0</v>
      </c>
      <c r="G37" s="500">
        <f t="shared" si="5"/>
        <v>292432.47</v>
      </c>
      <c r="H37" s="609">
        <f>+G31-G37</f>
        <v>51039.01000000007</v>
      </c>
    </row>
    <row r="38" spans="1:8" ht="12.75">
      <c r="A38" s="356"/>
      <c r="B38" s="497"/>
      <c r="C38" s="497"/>
      <c r="D38" s="497"/>
      <c r="E38" s="497"/>
      <c r="F38" s="497"/>
      <c r="G38" s="506"/>
      <c r="H38" s="39"/>
    </row>
    <row r="39" spans="1:28" s="42" customFormat="1" ht="12.75">
      <c r="A39" s="402" t="s">
        <v>190</v>
      </c>
      <c r="B39" s="497"/>
      <c r="C39" s="497"/>
      <c r="D39" s="497"/>
      <c r="E39" s="497"/>
      <c r="F39" s="497"/>
      <c r="G39" s="497"/>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191</v>
      </c>
      <c r="B40" s="505" t="e">
        <f>+'Income Statement-2'!#REF!</f>
        <v>#REF!</v>
      </c>
      <c r="C40" s="505"/>
      <c r="D40" s="497">
        <v>0</v>
      </c>
      <c r="E40" s="497">
        <v>0</v>
      </c>
      <c r="F40" s="497">
        <v>0</v>
      </c>
      <c r="G40" s="501"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206</v>
      </c>
      <c r="B41" s="497">
        <v>0</v>
      </c>
      <c r="C41" s="497">
        <v>0</v>
      </c>
      <c r="D41" s="497">
        <v>0</v>
      </c>
      <c r="E41" s="497">
        <v>0</v>
      </c>
      <c r="F41" s="497">
        <v>0</v>
      </c>
      <c r="G41" s="501">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296</v>
      </c>
      <c r="B42" s="503" t="e">
        <f>SUM(B40:B41)</f>
        <v>#REF!</v>
      </c>
      <c r="C42" s="503">
        <f>SUM(C40:C41)</f>
        <v>0</v>
      </c>
      <c r="D42" s="503">
        <f>SUM(D40:D41)</f>
        <v>0</v>
      </c>
      <c r="E42" s="503">
        <f>SUM(E40:E41)</f>
        <v>0</v>
      </c>
      <c r="F42" s="499">
        <f>SUM(F40:F41)</f>
        <v>0</v>
      </c>
      <c r="G42" s="500" t="e">
        <f>SUM(B42:F42)</f>
        <v>#REF!</v>
      </c>
      <c r="H42" s="39"/>
      <c r="I42" s="43"/>
      <c r="J42" s="40"/>
      <c r="K42" s="40"/>
      <c r="L42" s="40"/>
      <c r="M42" s="41"/>
      <c r="N42" s="41"/>
      <c r="O42" s="41"/>
      <c r="P42" s="41"/>
      <c r="Q42" s="41"/>
    </row>
    <row r="43" spans="1:8" ht="12.75">
      <c r="A43" s="356"/>
      <c r="B43" s="497"/>
      <c r="C43" s="497"/>
      <c r="D43" s="497"/>
      <c r="E43" s="497"/>
      <c r="F43" s="497"/>
      <c r="G43" s="506"/>
      <c r="H43" s="39"/>
    </row>
    <row r="44" spans="1:8" ht="26.25" thickBot="1">
      <c r="A44" s="395" t="s">
        <v>313</v>
      </c>
      <c r="B44" s="503" t="e">
        <f aca="true" t="shared" si="6" ref="B44:G44">B25-B31+B37+B42</f>
        <v>#REF!</v>
      </c>
      <c r="C44" s="503" t="e">
        <f>C25-C31+C37+C42</f>
        <v>#REF!</v>
      </c>
      <c r="D44" s="503" t="e">
        <f t="shared" si="6"/>
        <v>#REF!</v>
      </c>
      <c r="E44" s="503" t="e">
        <f t="shared" si="6"/>
        <v>#REF!</v>
      </c>
      <c r="F44" s="503" t="e">
        <f t="shared" si="6"/>
        <v>#REF!</v>
      </c>
      <c r="G44" s="500" t="e">
        <f t="shared" si="6"/>
        <v>#REF!</v>
      </c>
      <c r="H44" s="610" t="e">
        <f>SUM(H34:H43)</f>
        <v>#REF!</v>
      </c>
    </row>
    <row r="45" spans="1:8" ht="13.5" thickTop="1">
      <c r="A45" s="356"/>
      <c r="B45" s="497"/>
      <c r="C45" s="497"/>
      <c r="D45" s="497"/>
      <c r="E45" s="497"/>
      <c r="F45" s="497"/>
      <c r="G45" s="497"/>
      <c r="H45" s="37"/>
    </row>
    <row r="46" spans="1:8" ht="12.75">
      <c r="A46" s="404" t="s">
        <v>101</v>
      </c>
      <c r="B46" s="497"/>
      <c r="C46" s="497"/>
      <c r="D46" s="497"/>
      <c r="E46" s="497"/>
      <c r="F46" s="497"/>
      <c r="G46" s="497"/>
      <c r="H46" s="37"/>
    </row>
    <row r="47" spans="1:8" ht="12.75">
      <c r="A47" s="356" t="s">
        <v>271</v>
      </c>
      <c r="B47" s="497">
        <f>'(7)Premiums YTD8'!B18</f>
        <v>6184683</v>
      </c>
      <c r="C47" s="497">
        <f>'(7)Premiums YTD8'!C18</f>
        <v>0</v>
      </c>
      <c r="D47" s="497">
        <f>'(7)Premiums YTD8'!D18</f>
        <v>0</v>
      </c>
      <c r="E47" s="497" t="e">
        <f>'(7)Premiums YTD8'!E18</f>
        <v>#REF!</v>
      </c>
      <c r="F47" s="497" t="e">
        <f>'(7)Premiums YTD8'!F18</f>
        <v>#REF!</v>
      </c>
      <c r="G47" s="501" t="e">
        <f>SUM(B47:F47)</f>
        <v>#REF!</v>
      </c>
      <c r="H47" s="37" t="e">
        <f>+'(7)Premiums YTD8'!G18</f>
        <v>#REF!</v>
      </c>
    </row>
    <row r="48" spans="1:8" ht="12.75">
      <c r="A48" s="356" t="s">
        <v>314</v>
      </c>
      <c r="B48" s="497">
        <f>+'(6)Losses Incurred YTD10'!B18</f>
        <v>6530234.16294247</v>
      </c>
      <c r="C48" s="497">
        <f>+'(6)Losses Incurred YTD10'!C18</f>
        <v>525790.71</v>
      </c>
      <c r="D48" s="497">
        <f>+'(6)Losses Incurred YTD10'!D18</f>
        <v>92026</v>
      </c>
      <c r="E48" s="497">
        <f>'(6)Losses Incurred YTD10'!E18</f>
        <v>93733</v>
      </c>
      <c r="F48" s="497" t="e">
        <f>'(6)Losses Incurred YTD10'!F18</f>
        <v>#REF!</v>
      </c>
      <c r="G48" s="501" t="e">
        <f>SUM(B48:F48)</f>
        <v>#REF!</v>
      </c>
      <c r="H48" s="37" t="e">
        <f>+'(6)Losses Incurred YTD10'!H18</f>
        <v>#REF!</v>
      </c>
    </row>
    <row r="49" spans="1:8" ht="12.75">
      <c r="A49" s="356" t="s">
        <v>315</v>
      </c>
      <c r="B49" s="497">
        <f>+'(4)Loss Expenses YTD12'!B18</f>
        <v>670743.568894</v>
      </c>
      <c r="C49" s="497">
        <f>+'(4)Loss Expenses YTD12'!C18</f>
        <v>66617.682957</v>
      </c>
      <c r="D49" s="497">
        <f>+'(4)Loss Expenses YTD12'!D18</f>
        <v>11659.6942</v>
      </c>
      <c r="E49" s="497">
        <f>'(4)Loss Expenses YTD12'!E18-1</f>
        <v>11875.9847</v>
      </c>
      <c r="F49" s="497" t="e">
        <f>'(4)Loss Expenses YTD12'!F18-1</f>
        <v>#REF!</v>
      </c>
      <c r="G49" s="501" t="e">
        <f>SUM(B49:F49)+1</f>
        <v>#REF!</v>
      </c>
      <c r="H49" s="37" t="e">
        <f>+#REF!</f>
        <v>#REF!</v>
      </c>
    </row>
    <row r="50" spans="1:8" ht="12.75">
      <c r="A50" s="356" t="s">
        <v>316</v>
      </c>
      <c r="B50" s="497">
        <f>'(8)Earned Incurred YTD6'!B41</f>
        <v>330321.9</v>
      </c>
      <c r="C50" s="497">
        <f>'(8)Earned Incurred YTD6'!C41</f>
        <v>0</v>
      </c>
      <c r="D50" s="497">
        <v>0</v>
      </c>
      <c r="E50" s="497">
        <v>0</v>
      </c>
      <c r="F50" s="348">
        <v>0</v>
      </c>
      <c r="G50" s="501">
        <f>SUM(B50:F50)</f>
        <v>330321.9</v>
      </c>
      <c r="H50" s="37">
        <f>+'(8)Earned Incurred YTD6'!B41</f>
        <v>330321.9</v>
      </c>
    </row>
    <row r="51" spans="1:8" ht="12.75">
      <c r="A51" s="356" t="s">
        <v>317</v>
      </c>
      <c r="B51" s="497">
        <f>'(8)Earned Incurred YTD6'!B32</f>
        <v>61013.43</v>
      </c>
      <c r="C51" s="497">
        <f>'(8)Earned Incurred YTD6'!C32</f>
        <v>0</v>
      </c>
      <c r="D51" s="497">
        <v>0</v>
      </c>
      <c r="E51" s="497">
        <v>0</v>
      </c>
      <c r="F51" s="348">
        <v>0</v>
      </c>
      <c r="G51" s="501">
        <f>SUM(B51:F51)</f>
        <v>61013.43</v>
      </c>
      <c r="H51" s="37">
        <f>+'(8)Earned Incurred YTD6'!B32</f>
        <v>61013.43</v>
      </c>
    </row>
    <row r="52" spans="1:9" ht="12.75">
      <c r="A52" s="405" t="s">
        <v>296</v>
      </c>
      <c r="B52" s="499">
        <f>SUM(B47:B51)-1</f>
        <v>13776995.06183647</v>
      </c>
      <c r="C52" s="499">
        <f>SUM(C47:C51)-1</f>
        <v>592407.392957</v>
      </c>
      <c r="D52" s="499">
        <f>SUM(D47:D51)</f>
        <v>103685.6942</v>
      </c>
      <c r="E52" s="499" t="e">
        <f>SUM(E47:E51)</f>
        <v>#REF!</v>
      </c>
      <c r="F52" s="499" t="e">
        <f>SUM(F47:F51)</f>
        <v>#REF!</v>
      </c>
      <c r="G52" s="500" t="e">
        <f>SUM(G47:G51)</f>
        <v>#REF!</v>
      </c>
      <c r="H52" s="39" t="e">
        <f>SUM(G47:G51)</f>
        <v>#REF!</v>
      </c>
      <c r="I52" s="255" t="e">
        <f>+G52-H52</f>
        <v>#REF!</v>
      </c>
    </row>
    <row r="53" spans="1:8" ht="12.75">
      <c r="A53" s="356"/>
      <c r="B53" s="497"/>
      <c r="C53" s="497"/>
      <c r="D53" s="497"/>
      <c r="E53" s="497"/>
      <c r="F53" s="497"/>
      <c r="G53" s="497"/>
      <c r="H53" s="37"/>
    </row>
    <row r="54" spans="1:8" ht="12.75">
      <c r="A54" s="404" t="s">
        <v>102</v>
      </c>
      <c r="B54" s="510"/>
      <c r="C54" s="510"/>
      <c r="D54" s="510"/>
      <c r="E54" s="510"/>
      <c r="F54" s="497"/>
      <c r="G54" s="497"/>
      <c r="H54" s="37"/>
    </row>
    <row r="55" spans="1:8" ht="12.75">
      <c r="A55" s="356" t="s">
        <v>271</v>
      </c>
      <c r="B55" s="497">
        <f>+'(7)Premiums YTD8'!B24</f>
        <v>0</v>
      </c>
      <c r="C55" s="497">
        <f>+'(7)Premiums YTD8'!C24</f>
        <v>8897126</v>
      </c>
      <c r="D55" s="497">
        <f>+'(7)Premiums YTD8'!D24</f>
        <v>0</v>
      </c>
      <c r="E55" s="497">
        <f>+'(7)Premiums YTD8'!E24</f>
        <v>0</v>
      </c>
      <c r="F55" s="497">
        <v>0</v>
      </c>
      <c r="G55" s="501">
        <f>SUM(B55:F55)</f>
        <v>8897126</v>
      </c>
      <c r="H55" s="37">
        <f>+'(7)Premiums YTD8'!G24</f>
        <v>8897126</v>
      </c>
    </row>
    <row r="56" spans="1:8" ht="12.75">
      <c r="A56" s="356" t="s">
        <v>314</v>
      </c>
      <c r="B56" s="497">
        <v>0</v>
      </c>
      <c r="C56" s="497">
        <f>+'(6)Losses Incurred YTD10'!C24</f>
        <v>4404123</v>
      </c>
      <c r="D56" s="497">
        <f>+'(6)Losses Incurred YTD10'!D24</f>
        <v>932658</v>
      </c>
      <c r="E56" s="497">
        <f>+'(6)Losses Incurred YTD10'!E24</f>
        <v>172030</v>
      </c>
      <c r="F56" s="497">
        <f>+'(6)Losses Incurred YTD10'!F24</f>
        <v>78667</v>
      </c>
      <c r="G56" s="501">
        <f>SUM(B56:F56)-1</f>
        <v>5587477</v>
      </c>
      <c r="H56" s="37">
        <f>+'(6)Losses Incurred YTD10'!H24</f>
        <v>5587477</v>
      </c>
    </row>
    <row r="57" spans="1:8" ht="12.75">
      <c r="A57" s="356" t="s">
        <v>318</v>
      </c>
      <c r="B57" s="497">
        <v>0</v>
      </c>
      <c r="C57" s="497">
        <f>+'(4)Loss Expenses YTD12'!C24</f>
        <v>343249</v>
      </c>
      <c r="D57" s="497">
        <f>+'(4)Loss Expenses YTD12'!D24</f>
        <v>103712</v>
      </c>
      <c r="E57" s="497">
        <f>+'(4)Loss Expenses YTD12'!E24</f>
        <v>19130</v>
      </c>
      <c r="F57" s="497">
        <f>+'(4)Loss Expenses YTD12'!F24</f>
        <v>8748</v>
      </c>
      <c r="G57" s="501">
        <f>SUM(B57:F57)-2</f>
        <v>474837</v>
      </c>
      <c r="H57" s="37">
        <f>+'(4)Loss Expenses YTD12'!H24</f>
        <v>474837</v>
      </c>
    </row>
    <row r="58" spans="1:8" ht="12.75">
      <c r="A58" s="356" t="s">
        <v>316</v>
      </c>
      <c r="B58" s="497">
        <v>0</v>
      </c>
      <c r="C58" s="497">
        <f>+'(8)Earned Incurred YTD6'!B42</f>
        <v>356304</v>
      </c>
      <c r="D58" s="497">
        <v>0</v>
      </c>
      <c r="E58" s="497">
        <v>0</v>
      </c>
      <c r="F58" s="497">
        <v>0</v>
      </c>
      <c r="G58" s="501">
        <f>SUM(B58:F58)</f>
        <v>356304</v>
      </c>
      <c r="H58" s="37">
        <f>+'(8)Earned Incurred YTD6'!B42</f>
        <v>356304</v>
      </c>
    </row>
    <row r="59" spans="1:8" ht="12.75">
      <c r="A59" s="356" t="s">
        <v>317</v>
      </c>
      <c r="B59" s="497">
        <v>0</v>
      </c>
      <c r="C59" s="497">
        <f>+'(8)Earned Incurred YTD6'!B33</f>
        <v>46320</v>
      </c>
      <c r="D59" s="497">
        <v>0</v>
      </c>
      <c r="E59" s="497">
        <v>0</v>
      </c>
      <c r="F59" s="497">
        <v>0</v>
      </c>
      <c r="G59" s="501">
        <f>SUM(B59:F59)</f>
        <v>46320</v>
      </c>
      <c r="H59" s="37">
        <f>+'(8)Earned Incurred YTD6'!B33</f>
        <v>46320</v>
      </c>
    </row>
    <row r="60" spans="1:8" ht="12.75">
      <c r="A60" s="356" t="s">
        <v>296</v>
      </c>
      <c r="B60" s="499">
        <f aca="true" t="shared" si="7" ref="B60:G60">SUM(B55:B59)</f>
        <v>0</v>
      </c>
      <c r="C60" s="499">
        <f t="shared" si="7"/>
        <v>14047122</v>
      </c>
      <c r="D60" s="499">
        <f t="shared" si="7"/>
        <v>1036370</v>
      </c>
      <c r="E60" s="499">
        <f t="shared" si="7"/>
        <v>191160</v>
      </c>
      <c r="F60" s="499">
        <f t="shared" si="7"/>
        <v>87415</v>
      </c>
      <c r="G60" s="500">
        <f t="shared" si="7"/>
        <v>15362064</v>
      </c>
      <c r="H60" s="39">
        <f>SUM(G55:G59)</f>
        <v>15362064</v>
      </c>
    </row>
    <row r="61" spans="1:7" ht="12.75">
      <c r="A61" s="356"/>
      <c r="B61" s="406"/>
      <c r="C61" s="406"/>
      <c r="D61" s="406"/>
      <c r="E61" s="406"/>
      <c r="F61" s="399"/>
      <c r="G61" s="399"/>
    </row>
    <row r="62" spans="1:8" s="119" customFormat="1" ht="13.5" thickBot="1">
      <c r="A62" s="401" t="s">
        <v>319</v>
      </c>
      <c r="B62" s="507" t="e">
        <f>B44-B52+B60</f>
        <v>#REF!</v>
      </c>
      <c r="C62" s="507" t="e">
        <f>C44-C52+C60</f>
        <v>#REF!</v>
      </c>
      <c r="D62" s="507" t="e">
        <f>D44-D52+D60</f>
        <v>#REF!</v>
      </c>
      <c r="E62" s="507" t="e">
        <f>E44-E52+E60</f>
        <v>#REF!</v>
      </c>
      <c r="F62" s="507" t="e">
        <f>F44-F52+F60</f>
        <v>#REF!</v>
      </c>
      <c r="G62" s="507" t="e">
        <f>SUM(B62:F62)-5</f>
        <v>#REF!</v>
      </c>
      <c r="H62" s="44" t="e">
        <f>+H44</f>
        <v>#REF!</v>
      </c>
    </row>
    <row r="63" spans="1:9" ht="13.5" thickTop="1">
      <c r="A63" s="356"/>
      <c r="B63" s="406"/>
      <c r="C63" s="406"/>
      <c r="D63" s="406"/>
      <c r="E63" s="406"/>
      <c r="F63" s="399"/>
      <c r="G63" s="612"/>
      <c r="H63" s="44" t="e">
        <f>+G62-H62</f>
        <v>#REF!</v>
      </c>
      <c r="I63" s="347"/>
    </row>
    <row r="64" spans="1:9" ht="12.75">
      <c r="A64" s="356"/>
      <c r="B64" s="406"/>
      <c r="C64" s="406"/>
      <c r="D64" s="406"/>
      <c r="E64" s="406"/>
      <c r="F64" s="399"/>
      <c r="G64" s="612"/>
      <c r="I64" s="44"/>
    </row>
    <row r="65" spans="1:7" ht="12.75">
      <c r="A65" s="356"/>
      <c r="B65" s="406"/>
      <c r="C65" s="406"/>
      <c r="D65" s="406"/>
      <c r="E65" s="406"/>
      <c r="F65" s="399"/>
      <c r="G65" s="771"/>
    </row>
    <row r="66" ht="12.75">
      <c r="G66" s="611"/>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8.xml><?xml version="1.0" encoding="utf-8"?>
<worksheet xmlns="http://schemas.openxmlformats.org/spreadsheetml/2006/main" xmlns:r="http://schemas.openxmlformats.org/officeDocument/2006/relationships">
  <dimension ref="A1:H90"/>
  <sheetViews>
    <sheetView zoomScale="75" zoomScaleNormal="75" workbookViewId="0" topLeftCell="A13">
      <selection activeCell="B29" sqref="B29"/>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67" t="s">
        <v>258</v>
      </c>
      <c r="B1" s="967"/>
      <c r="C1" s="967"/>
      <c r="D1" s="967"/>
      <c r="E1" s="967"/>
      <c r="F1" s="967"/>
      <c r="G1" s="967"/>
    </row>
    <row r="2" spans="1:7" s="27" customFormat="1" ht="15" customHeight="1">
      <c r="A2" s="968"/>
      <c r="B2" s="968"/>
      <c r="C2" s="968"/>
      <c r="D2" s="968"/>
      <c r="E2" s="968"/>
      <c r="F2" s="968"/>
      <c r="G2" s="968"/>
    </row>
    <row r="3" spans="1:7" s="795" customFormat="1" ht="15" customHeight="1">
      <c r="A3" s="969" t="s">
        <v>291</v>
      </c>
      <c r="B3" s="969"/>
      <c r="C3" s="969"/>
      <c r="D3" s="969"/>
      <c r="E3" s="969"/>
      <c r="F3" s="969"/>
      <c r="G3" s="969"/>
    </row>
    <row r="4" spans="1:7" s="795" customFormat="1" ht="15" customHeight="1">
      <c r="A4" s="969" t="s">
        <v>495</v>
      </c>
      <c r="B4" s="969"/>
      <c r="C4" s="969"/>
      <c r="D4" s="969"/>
      <c r="E4" s="969"/>
      <c r="F4" s="969"/>
      <c r="G4" s="969"/>
    </row>
    <row r="5" spans="1:7" s="29" customFormat="1" ht="15" customHeight="1">
      <c r="A5" s="383"/>
      <c r="B5" s="827"/>
      <c r="C5" s="827"/>
      <c r="D5" s="828"/>
      <c r="E5" s="829"/>
      <c r="F5" s="829"/>
      <c r="G5" s="830"/>
    </row>
    <row r="6" spans="1:7" s="798" customFormat="1" ht="30" customHeight="1">
      <c r="A6" s="857"/>
      <c r="B6" s="831" t="s">
        <v>198</v>
      </c>
      <c r="C6" s="831" t="s">
        <v>42</v>
      </c>
      <c r="D6" s="831" t="s">
        <v>46</v>
      </c>
      <c r="E6" s="831" t="s">
        <v>147</v>
      </c>
      <c r="F6" s="831" t="s">
        <v>217</v>
      </c>
      <c r="G6" s="831" t="s">
        <v>259</v>
      </c>
    </row>
    <row r="7" spans="1:7" s="799" customFormat="1" ht="15" customHeight="1">
      <c r="A7" s="859" t="s">
        <v>293</v>
      </c>
      <c r="B7" s="860"/>
      <c r="C7" s="860"/>
      <c r="D7" s="861"/>
      <c r="E7" s="862"/>
      <c r="F7" s="862"/>
      <c r="G7" s="863"/>
    </row>
    <row r="8" spans="1:7" s="797" customFormat="1" ht="15" customHeight="1">
      <c r="A8" s="865" t="s">
        <v>294</v>
      </c>
      <c r="B8" s="866">
        <f>'Premiums YTD-8'!B11</f>
        <v>24042900</v>
      </c>
      <c r="C8" s="866">
        <f>'Premiums YTD-8'!C11</f>
        <v>-76282</v>
      </c>
      <c r="D8" s="866">
        <f>'Premiums YTD-8'!D11</f>
        <v>-7428</v>
      </c>
      <c r="E8" s="866">
        <f>'Premiums YTD-8'!E11</f>
        <v>-426</v>
      </c>
      <c r="F8" s="866">
        <f>'Premiums YTD-8'!F11</f>
        <v>-477</v>
      </c>
      <c r="G8" s="866">
        <f>SUM(B8:F8)</f>
        <v>23958287</v>
      </c>
    </row>
    <row r="9" spans="1:7" s="797" customFormat="1" ht="15" customHeight="1">
      <c r="A9" s="865" t="s">
        <v>295</v>
      </c>
      <c r="B9" s="867">
        <f>'Earned Incurred YTD-6'!$C$48</f>
        <v>141238.44000000003</v>
      </c>
      <c r="C9" s="867">
        <v>0</v>
      </c>
      <c r="D9" s="867">
        <v>0</v>
      </c>
      <c r="E9" s="867">
        <v>0</v>
      </c>
      <c r="F9" s="867">
        <v>0</v>
      </c>
      <c r="G9" s="867">
        <f>SUM(B9:F9)</f>
        <v>141238.44000000003</v>
      </c>
    </row>
    <row r="10" spans="1:7" s="797" customFormat="1" ht="15" customHeight="1" thickBot="1">
      <c r="A10" s="869" t="s">
        <v>296</v>
      </c>
      <c r="B10" s="870">
        <f aca="true" t="shared" si="0" ref="B10:G10">SUM(B8:B9)</f>
        <v>24184138.44</v>
      </c>
      <c r="C10" s="870">
        <f t="shared" si="0"/>
        <v>-76282</v>
      </c>
      <c r="D10" s="870">
        <f t="shared" si="0"/>
        <v>-7428</v>
      </c>
      <c r="E10" s="871">
        <f t="shared" si="0"/>
        <v>-426</v>
      </c>
      <c r="F10" s="871">
        <f t="shared" si="0"/>
        <v>-477</v>
      </c>
      <c r="G10" s="872">
        <f t="shared" si="0"/>
        <v>24099525.44</v>
      </c>
    </row>
    <row r="11" spans="1:7" s="797" customFormat="1" ht="15" customHeight="1" thickTop="1">
      <c r="A11" s="869"/>
      <c r="B11" s="873"/>
      <c r="C11" s="873"/>
      <c r="D11" s="873"/>
      <c r="E11" s="867"/>
      <c r="F11" s="867"/>
      <c r="G11" s="867"/>
    </row>
    <row r="12" spans="1:7" s="797" customFormat="1" ht="15" customHeight="1">
      <c r="A12" s="859" t="s">
        <v>297</v>
      </c>
      <c r="B12" s="861"/>
      <c r="C12" s="861"/>
      <c r="D12" s="861"/>
      <c r="E12" s="874"/>
      <c r="F12" s="874"/>
      <c r="G12" s="867"/>
    </row>
    <row r="13" spans="1:7" s="797" customFormat="1" ht="15" customHeight="1">
      <c r="A13" s="869" t="s">
        <v>298</v>
      </c>
      <c r="B13" s="867">
        <f>'Losses Incurred YTD-10'!B13</f>
        <v>1927305.3800000001</v>
      </c>
      <c r="C13" s="867">
        <f>'Losses Incurred YTD-10'!C13</f>
        <v>8772401.49</v>
      </c>
      <c r="D13" s="867">
        <f>'Losses Incurred YTD-10'!D13</f>
        <v>1894057.9100000001</v>
      </c>
      <c r="E13" s="867">
        <f>'Losses Incurred YTD-10'!E13</f>
        <v>-17663.85</v>
      </c>
      <c r="F13" s="867">
        <f>'Losses Incurred YTD-10'!F13</f>
        <v>98708.82999999999</v>
      </c>
      <c r="G13" s="867">
        <f>SUM(B13:F13)-1</f>
        <v>12674808.760000002</v>
      </c>
    </row>
    <row r="14" spans="1:7" s="797" customFormat="1" ht="15" customHeight="1">
      <c r="A14" s="869" t="s">
        <v>299</v>
      </c>
      <c r="B14" s="867">
        <f>'[13]Loss Expenses YTD-17'!$C$37</f>
        <v>249005.72</v>
      </c>
      <c r="C14" s="867">
        <f>'[13]Loss Expenses YTD-17'!$C$31</f>
        <v>677290.22</v>
      </c>
      <c r="D14" s="867">
        <f>'[13]Loss Expenses YTD-17'!$C$25</f>
        <v>136430.36</v>
      </c>
      <c r="E14" s="867">
        <f>'[13]Loss Expenses YTD-17'!$C$19</f>
        <v>10304.470000000001</v>
      </c>
      <c r="F14" s="867">
        <f>'[13]Loss Expenses YTD-17'!$C$13</f>
        <v>14301.03</v>
      </c>
      <c r="G14" s="867">
        <f aca="true" t="shared" si="1" ref="G14:G21">SUM(B14:F14)</f>
        <v>1087331.7999999998</v>
      </c>
    </row>
    <row r="15" spans="1:7" s="797" customFormat="1" ht="15" customHeight="1">
      <c r="A15" s="869" t="s">
        <v>300</v>
      </c>
      <c r="B15" s="867">
        <f>'[13]Loss Expenses YTD-17'!$I$37</f>
        <v>86216.83</v>
      </c>
      <c r="C15" s="867">
        <f>'[13]Loss Expenses YTD-17'!$I$31</f>
        <v>366882.02</v>
      </c>
      <c r="D15" s="867">
        <f>'[13]Loss Expenses YTD-17'!$I$25</f>
        <v>73505.6</v>
      </c>
      <c r="E15" s="867">
        <f>'[13]Loss Expenses YTD-17'!$I$19</f>
        <v>283.8</v>
      </c>
      <c r="F15" s="867">
        <f>'[13]Loss Expenses YTD-17'!$I$13</f>
        <v>3972.17</v>
      </c>
      <c r="G15" s="867">
        <f t="shared" si="1"/>
        <v>530860.4200000002</v>
      </c>
    </row>
    <row r="16" spans="1:7" s="797" customFormat="1" ht="15" customHeight="1">
      <c r="A16" s="869" t="s">
        <v>301</v>
      </c>
      <c r="B16" s="867">
        <f>'[13]TB @ 1-25-05'!$F$528</f>
        <v>33905.6</v>
      </c>
      <c r="C16" s="867">
        <v>0</v>
      </c>
      <c r="D16" s="867">
        <v>0</v>
      </c>
      <c r="E16" s="867">
        <v>0</v>
      </c>
      <c r="F16" s="867">
        <v>0</v>
      </c>
      <c r="G16" s="867">
        <f t="shared" si="1"/>
        <v>33905.6</v>
      </c>
    </row>
    <row r="17" spans="1:7" s="797" customFormat="1" ht="15" customHeight="1">
      <c r="A17" s="875" t="s">
        <v>302</v>
      </c>
      <c r="B17" s="867">
        <f>'[13]TB @ 1-25-05'!$F$533</f>
        <v>331372.32</v>
      </c>
      <c r="C17" s="867">
        <v>0</v>
      </c>
      <c r="D17" s="867">
        <v>0</v>
      </c>
      <c r="E17" s="867">
        <v>0</v>
      </c>
      <c r="F17" s="867">
        <v>0</v>
      </c>
      <c r="G17" s="867">
        <f t="shared" si="1"/>
        <v>331372.32</v>
      </c>
    </row>
    <row r="18" spans="1:8" s="797" customFormat="1" ht="15" customHeight="1">
      <c r="A18" s="869" t="s">
        <v>304</v>
      </c>
      <c r="B18" s="867">
        <f>'[13]TB @ 1-25-05'!$E$530</f>
        <v>13200</v>
      </c>
      <c r="C18" s="867">
        <v>0</v>
      </c>
      <c r="D18" s="867">
        <v>0</v>
      </c>
      <c r="E18" s="867">
        <v>0</v>
      </c>
      <c r="F18" s="867">
        <v>0</v>
      </c>
      <c r="G18" s="867">
        <f t="shared" si="1"/>
        <v>13200</v>
      </c>
      <c r="H18" s="801"/>
    </row>
    <row r="19" spans="1:7" s="797" customFormat="1" ht="15" customHeight="1">
      <c r="A19" s="875" t="s">
        <v>303</v>
      </c>
      <c r="B19" s="867">
        <f>'[13]TB @ 1-25-05'!F504+'[13]TB @ 1-25-05'!F519+'[13]TB @ 1-25-05'!F508+'[13]TB @ 1-25-05'!F523</f>
        <v>2172197.35</v>
      </c>
      <c r="C19" s="867">
        <f>'[13]TB @ 1-25-05'!F500+'[13]TB @ 1-25-05'!F515</f>
        <v>-29983.350000000002</v>
      </c>
      <c r="D19" s="867">
        <f>'[13]TB @ 1-25-05'!F496+'[13]TB @ 1-25-05'!F511</f>
        <v>-640.5</v>
      </c>
      <c r="E19" s="867">
        <f>'[13]TB @ 1-25-05'!F492</f>
        <v>-42.6</v>
      </c>
      <c r="F19" s="867">
        <f>'[13]TB @ 1-25-05'!F485+'[13]TB @ 1-25-05'!F489</f>
        <v>-47.7</v>
      </c>
      <c r="G19" s="867">
        <f t="shared" si="1"/>
        <v>2141483.1999999997</v>
      </c>
    </row>
    <row r="20" spans="1:7" s="797" customFormat="1" ht="15" customHeight="1">
      <c r="A20" s="869" t="s">
        <v>305</v>
      </c>
      <c r="B20" s="867">
        <f>'Earned Incurred YTD-6'!C39</f>
        <v>3902313.980000006</v>
      </c>
      <c r="C20" s="867">
        <v>0</v>
      </c>
      <c r="D20" s="867">
        <v>0</v>
      </c>
      <c r="E20" s="867">
        <v>0</v>
      </c>
      <c r="F20" s="867">
        <v>0</v>
      </c>
      <c r="G20" s="867">
        <f t="shared" si="1"/>
        <v>3902313.980000006</v>
      </c>
    </row>
    <row r="21" spans="1:7" s="797" customFormat="1" ht="15" customHeight="1">
      <c r="A21" s="869" t="s">
        <v>97</v>
      </c>
      <c r="B21" s="867">
        <v>66012.18</v>
      </c>
      <c r="C21" s="867">
        <v>20311.14</v>
      </c>
      <c r="D21" s="867">
        <v>0</v>
      </c>
      <c r="E21" s="867">
        <v>0</v>
      </c>
      <c r="F21" s="867">
        <v>0</v>
      </c>
      <c r="G21" s="867">
        <f t="shared" si="1"/>
        <v>86323.31999999999</v>
      </c>
    </row>
    <row r="22" spans="1:7" s="797" customFormat="1" ht="15" customHeight="1" thickBot="1">
      <c r="A22" s="869" t="s">
        <v>296</v>
      </c>
      <c r="B22" s="870">
        <f aca="true" t="shared" si="2" ref="B22:G22">SUM(B13:B21)</f>
        <v>8781529.360000007</v>
      </c>
      <c r="C22" s="870">
        <f>SUM(C13:C21)-1</f>
        <v>9806900.520000001</v>
      </c>
      <c r="D22" s="870">
        <f t="shared" si="2"/>
        <v>2103353.37</v>
      </c>
      <c r="E22" s="870">
        <f>SUM(E13:E21)-1</f>
        <v>-7119.179999999998</v>
      </c>
      <c r="F22" s="870">
        <f t="shared" si="2"/>
        <v>116934.32999999999</v>
      </c>
      <c r="G22" s="872">
        <f t="shared" si="2"/>
        <v>20801599.400000006</v>
      </c>
    </row>
    <row r="23" spans="1:7" s="797" customFormat="1" ht="15" customHeight="1" thickTop="1">
      <c r="A23" s="869"/>
      <c r="B23" s="873"/>
      <c r="C23" s="873"/>
      <c r="D23" s="873"/>
      <c r="E23" s="867"/>
      <c r="F23" s="867"/>
      <c r="G23" s="867"/>
    </row>
    <row r="24" spans="1:7" s="797" customFormat="1" ht="15" customHeight="1" thickBot="1">
      <c r="A24" s="877" t="s">
        <v>306</v>
      </c>
      <c r="B24" s="878">
        <f>B10-B22</f>
        <v>15402609.079999994</v>
      </c>
      <c r="C24" s="878">
        <f>C10-C22</f>
        <v>-9883182.520000001</v>
      </c>
      <c r="D24" s="878">
        <f>D10-D22</f>
        <v>-2110781.37</v>
      </c>
      <c r="E24" s="878">
        <f>E10-E22</f>
        <v>6693.179999999998</v>
      </c>
      <c r="F24" s="878">
        <f>F10-F22</f>
        <v>-117411.32999999999</v>
      </c>
      <c r="G24" s="872">
        <f>SUM(B24:F24)-1</f>
        <v>3297926.039999993</v>
      </c>
    </row>
    <row r="25" spans="1:7" s="797" customFormat="1" ht="15" customHeight="1" thickTop="1">
      <c r="A25" s="869"/>
      <c r="B25" s="873"/>
      <c r="C25" s="873"/>
      <c r="D25" s="873"/>
      <c r="E25" s="867"/>
      <c r="F25" s="867"/>
      <c r="G25" s="867"/>
    </row>
    <row r="26" spans="1:7" s="797" customFormat="1" ht="15" customHeight="1">
      <c r="A26" s="859" t="s">
        <v>307</v>
      </c>
      <c r="B26" s="861"/>
      <c r="C26" s="861"/>
      <c r="D26" s="861"/>
      <c r="E26" s="874"/>
      <c r="F26" s="874"/>
      <c r="G26" s="867"/>
    </row>
    <row r="27" spans="1:7" s="797" customFormat="1" ht="15" customHeight="1">
      <c r="A27" s="869" t="s">
        <v>308</v>
      </c>
      <c r="B27" s="867">
        <v>0</v>
      </c>
      <c r="C27" s="867">
        <f>'Earned Incurred YTD-6'!B50</f>
        <v>8748.01</v>
      </c>
      <c r="D27" s="867">
        <v>0</v>
      </c>
      <c r="E27" s="867">
        <v>0</v>
      </c>
      <c r="F27" s="867">
        <v>0</v>
      </c>
      <c r="G27" s="867">
        <f>SUM(B27:F27)</f>
        <v>8748.01</v>
      </c>
    </row>
    <row r="28" spans="1:7" s="797" customFormat="1" ht="15" customHeight="1">
      <c r="A28" s="869" t="s">
        <v>309</v>
      </c>
      <c r="B28" s="867">
        <f>'Balance Sheet-1'!$D$15</f>
        <v>326387.48000000004</v>
      </c>
      <c r="C28" s="867">
        <v>0</v>
      </c>
      <c r="D28" s="867">
        <v>0</v>
      </c>
      <c r="E28" s="867">
        <v>0</v>
      </c>
      <c r="F28" s="867">
        <v>0</v>
      </c>
      <c r="G28" s="867">
        <f>SUM(B28:F28)</f>
        <v>326387.48000000004</v>
      </c>
    </row>
    <row r="29" spans="1:7" s="797" customFormat="1" ht="15" customHeight="1">
      <c r="A29" s="869" t="s">
        <v>502</v>
      </c>
      <c r="B29" s="867">
        <v>335683</v>
      </c>
      <c r="C29" s="867">
        <v>0</v>
      </c>
      <c r="D29" s="867"/>
      <c r="E29" s="867"/>
      <c r="F29" s="867"/>
      <c r="G29" s="867">
        <f>SUM(B29:F29)</f>
        <v>335683</v>
      </c>
    </row>
    <row r="30" spans="1:7" s="797" customFormat="1" ht="15" customHeight="1" thickBot="1">
      <c r="A30" s="869" t="s">
        <v>296</v>
      </c>
      <c r="B30" s="871">
        <f aca="true" t="shared" si="3" ref="B30:G30">SUM(B27:B29)</f>
        <v>662070.48</v>
      </c>
      <c r="C30" s="871">
        <f t="shared" si="3"/>
        <v>8748.01</v>
      </c>
      <c r="D30" s="871">
        <f t="shared" si="3"/>
        <v>0</v>
      </c>
      <c r="E30" s="871">
        <f t="shared" si="3"/>
        <v>0</v>
      </c>
      <c r="F30" s="871">
        <f t="shared" si="3"/>
        <v>0</v>
      </c>
      <c r="G30" s="872">
        <f t="shared" si="3"/>
        <v>670818.49</v>
      </c>
    </row>
    <row r="31" spans="1:7" s="797" customFormat="1" ht="15" customHeight="1" thickTop="1">
      <c r="A31" s="869"/>
      <c r="B31" s="873"/>
      <c r="C31" s="873"/>
      <c r="D31" s="873"/>
      <c r="E31" s="867"/>
      <c r="F31" s="867"/>
      <c r="G31" s="867"/>
    </row>
    <row r="32" spans="1:7" s="797" customFormat="1" ht="15" customHeight="1">
      <c r="A32" s="859" t="s">
        <v>310</v>
      </c>
      <c r="B32" s="861"/>
      <c r="C32" s="861"/>
      <c r="D32" s="861"/>
      <c r="E32" s="874"/>
      <c r="F32" s="874"/>
      <c r="G32" s="867"/>
    </row>
    <row r="33" spans="1:7" s="797" customFormat="1" ht="15" customHeight="1">
      <c r="A33" s="869" t="s">
        <v>311</v>
      </c>
      <c r="B33" s="867">
        <f>'Earned Incurred YTD-6'!B49</f>
        <v>45849.92</v>
      </c>
      <c r="C33" s="873">
        <v>0</v>
      </c>
      <c r="D33" s="867">
        <v>0</v>
      </c>
      <c r="E33" s="867">
        <v>0</v>
      </c>
      <c r="F33" s="867">
        <v>0</v>
      </c>
      <c r="G33" s="867">
        <f>SUM(B33:F33)</f>
        <v>45849.92</v>
      </c>
    </row>
    <row r="34" spans="1:7" s="797" customFormat="1" ht="15" customHeight="1">
      <c r="A34" s="869" t="s">
        <v>312</v>
      </c>
      <c r="B34" s="873">
        <v>0</v>
      </c>
      <c r="C34" s="873">
        <v>234912.12</v>
      </c>
      <c r="D34" s="867">
        <v>0</v>
      </c>
      <c r="E34" s="867">
        <v>0</v>
      </c>
      <c r="F34" s="867">
        <v>0</v>
      </c>
      <c r="G34" s="867">
        <f>SUM(B34:F34)</f>
        <v>234912.12</v>
      </c>
    </row>
    <row r="35" spans="1:8" s="868" customFormat="1" ht="15" customHeight="1">
      <c r="A35" s="869" t="s">
        <v>501</v>
      </c>
      <c r="B35" s="867">
        <v>0</v>
      </c>
      <c r="C35" s="867">
        <v>504070</v>
      </c>
      <c r="D35" s="867">
        <v>0</v>
      </c>
      <c r="E35" s="867">
        <v>0</v>
      </c>
      <c r="F35" s="867">
        <v>0</v>
      </c>
      <c r="G35" s="867">
        <f>SUM(B35:F35)</f>
        <v>504070</v>
      </c>
      <c r="H35" s="876"/>
    </row>
    <row r="36" spans="1:7" s="797" customFormat="1" ht="15" customHeight="1" thickBot="1">
      <c r="A36" s="869" t="s">
        <v>296</v>
      </c>
      <c r="B36" s="871">
        <f aca="true" t="shared" si="4" ref="B36:G36">SUM(B33:B35)</f>
        <v>45849.92</v>
      </c>
      <c r="C36" s="871">
        <f t="shared" si="4"/>
        <v>738982.12</v>
      </c>
      <c r="D36" s="871">
        <f t="shared" si="4"/>
        <v>0</v>
      </c>
      <c r="E36" s="871">
        <f t="shared" si="4"/>
        <v>0</v>
      </c>
      <c r="F36" s="871">
        <f t="shared" si="4"/>
        <v>0</v>
      </c>
      <c r="G36" s="872">
        <f t="shared" si="4"/>
        <v>784832.04</v>
      </c>
    </row>
    <row r="37" spans="1:7" s="797" customFormat="1" ht="15" customHeight="1" thickTop="1">
      <c r="A37" s="869"/>
      <c r="B37" s="873"/>
      <c r="C37" s="873"/>
      <c r="D37" s="873"/>
      <c r="E37" s="867"/>
      <c r="F37" s="867"/>
      <c r="G37" s="879"/>
    </row>
    <row r="38" spans="1:7" s="797" customFormat="1" ht="15" customHeight="1" thickBot="1">
      <c r="A38" s="859" t="s">
        <v>313</v>
      </c>
      <c r="B38" s="878">
        <f>B24-B30+B36</f>
        <v>14786388.519999994</v>
      </c>
      <c r="C38" s="878">
        <f>C24-C30+C36-1</f>
        <v>-9152949.410000002</v>
      </c>
      <c r="D38" s="878">
        <f>D24-D30+D36</f>
        <v>-2110781.37</v>
      </c>
      <c r="E38" s="878">
        <f>E24-E30+E36</f>
        <v>6693.179999999998</v>
      </c>
      <c r="F38" s="878">
        <f>F24-F30+F36</f>
        <v>-117411.32999999999</v>
      </c>
      <c r="G38" s="872">
        <f>SUM(B38:F38)</f>
        <v>3411939.589999992</v>
      </c>
    </row>
    <row r="39" spans="1:7" s="797" customFormat="1" ht="15" customHeight="1" thickTop="1">
      <c r="A39" s="869"/>
      <c r="B39" s="873"/>
      <c r="C39" s="873"/>
      <c r="D39" s="873"/>
      <c r="E39" s="867"/>
      <c r="F39" s="867"/>
      <c r="G39" s="867"/>
    </row>
    <row r="40" spans="1:7" s="797" customFormat="1" ht="15" customHeight="1">
      <c r="A40" s="880" t="s">
        <v>101</v>
      </c>
      <c r="B40" s="881"/>
      <c r="C40" s="881"/>
      <c r="D40" s="881"/>
      <c r="E40" s="867"/>
      <c r="F40" s="867"/>
      <c r="G40" s="867"/>
    </row>
    <row r="41" spans="1:7" s="797" customFormat="1" ht="15" customHeight="1">
      <c r="A41" s="869" t="s">
        <v>271</v>
      </c>
      <c r="B41" s="867">
        <f>'Premiums YTD-8'!B17</f>
        <v>11919572</v>
      </c>
      <c r="C41" s="867">
        <f>'Premiums YTD-8'!C17</f>
        <v>0</v>
      </c>
      <c r="D41" s="867">
        <f>'Premiums YTD-8'!D17</f>
        <v>0</v>
      </c>
      <c r="E41" s="867">
        <f>'Premiums YTD-8'!E17</f>
        <v>0</v>
      </c>
      <c r="F41" s="867">
        <f>'Premiums YTD-8'!F17</f>
        <v>0</v>
      </c>
      <c r="G41" s="867">
        <f>SUM(B41:F41)</f>
        <v>11919572</v>
      </c>
    </row>
    <row r="42" spans="1:7" s="797" customFormat="1" ht="15" customHeight="1">
      <c r="A42" s="869" t="s">
        <v>314</v>
      </c>
      <c r="B42" s="867">
        <f>'Losses Incurred YTD-10'!B19+'Losses Incurred YTD-10'!B25</f>
        <v>4732722.12</v>
      </c>
      <c r="C42" s="867">
        <f>'Losses Incurred YTD-10'!C19+'Losses Incurred YTD-10'!C25</f>
        <v>1387504.74</v>
      </c>
      <c r="D42" s="867">
        <f>'Losses Incurred YTD-10'!D19+'Losses Incurred YTD-10'!D25</f>
        <v>230931</v>
      </c>
      <c r="E42" s="867">
        <f>'Losses Incurred YTD-10'!E19+'Losses Incurred YTD-10'!E25</f>
        <v>144281</v>
      </c>
      <c r="F42" s="867">
        <f>'Losses Incurred YTD-10'!F19+'Losses Incurred YTD-10'!F25</f>
        <v>17037.82</v>
      </c>
      <c r="G42" s="867">
        <f>SUM(B42:F42)</f>
        <v>6512476.680000001</v>
      </c>
    </row>
    <row r="43" spans="1:7" s="797" customFormat="1" ht="15" customHeight="1">
      <c r="A43" s="869" t="s">
        <v>315</v>
      </c>
      <c r="B43" s="867">
        <f>'Loss Expenses YTD-12'!B18</f>
        <v>427875.2200000001</v>
      </c>
      <c r="C43" s="867">
        <f>'Loss Expenses YTD-12'!C18</f>
        <v>173901.02</v>
      </c>
      <c r="D43" s="867">
        <f>'Loss Expenses YTD-12'!D18</f>
        <v>27137.45</v>
      </c>
      <c r="E43" s="867">
        <f>'Loss Expenses YTD-12'!E18</f>
        <v>9793.1</v>
      </c>
      <c r="F43" s="867">
        <f>'Loss Expenses YTD-12'!F18</f>
        <v>3873.18</v>
      </c>
      <c r="G43" s="867">
        <f>SUM(B43:F43)-1</f>
        <v>642578.9700000001</v>
      </c>
    </row>
    <row r="44" spans="1:7" s="797" customFormat="1" ht="15" customHeight="1">
      <c r="A44" s="869" t="s">
        <v>316</v>
      </c>
      <c r="B44" s="867">
        <f>'Earned Incurred YTD-6'!B41</f>
        <v>251967.98000000004</v>
      </c>
      <c r="C44" s="873">
        <v>0</v>
      </c>
      <c r="D44" s="873">
        <v>0</v>
      </c>
      <c r="E44" s="873">
        <v>0</v>
      </c>
      <c r="F44" s="867">
        <v>0</v>
      </c>
      <c r="G44" s="867">
        <f>SUM(B44:F44)</f>
        <v>251967.98000000004</v>
      </c>
    </row>
    <row r="45" spans="1:7" s="797" customFormat="1" ht="15" customHeight="1">
      <c r="A45" s="869" t="s">
        <v>317</v>
      </c>
      <c r="B45" s="867">
        <f>'Earned Incurred YTD-6'!B33</f>
        <v>61013.43</v>
      </c>
      <c r="C45" s="873">
        <v>0</v>
      </c>
      <c r="D45" s="867">
        <v>0</v>
      </c>
      <c r="E45" s="873">
        <v>0</v>
      </c>
      <c r="F45" s="867">
        <v>0</v>
      </c>
      <c r="G45" s="867">
        <f>SUM(B45:F45)</f>
        <v>61013.43</v>
      </c>
    </row>
    <row r="46" spans="1:7" s="797" customFormat="1" ht="15" customHeight="1" thickBot="1">
      <c r="A46" s="882" t="s">
        <v>296</v>
      </c>
      <c r="B46" s="871">
        <f>SUM(B41:B45)-1</f>
        <v>17393149.75</v>
      </c>
      <c r="C46" s="871">
        <f>SUM(C41:C45)</f>
        <v>1561405.76</v>
      </c>
      <c r="D46" s="871">
        <f>SUM(D41:D45)</f>
        <v>258068.45</v>
      </c>
      <c r="E46" s="871">
        <f>SUM(E41:E45)</f>
        <v>154074.1</v>
      </c>
      <c r="F46" s="871">
        <f>SUM(F41:F45)</f>
        <v>20911</v>
      </c>
      <c r="G46" s="872">
        <f>SUM(G41:G45)</f>
        <v>19387609.06</v>
      </c>
    </row>
    <row r="47" spans="1:7" s="797" customFormat="1" ht="15" customHeight="1" thickTop="1">
      <c r="A47" s="869"/>
      <c r="B47" s="873"/>
      <c r="C47" s="873"/>
      <c r="D47" s="873"/>
      <c r="E47" s="867"/>
      <c r="F47" s="867"/>
      <c r="G47" s="867"/>
    </row>
    <row r="48" spans="1:7" s="797" customFormat="1" ht="15" customHeight="1">
      <c r="A48" s="880" t="s">
        <v>102</v>
      </c>
      <c r="B48" s="881"/>
      <c r="C48" s="881"/>
      <c r="D48" s="881"/>
      <c r="E48" s="867"/>
      <c r="F48" s="867"/>
      <c r="G48" s="867"/>
    </row>
    <row r="49" spans="1:7" s="797" customFormat="1" ht="15" customHeight="1">
      <c r="A49" s="869" t="s">
        <v>271</v>
      </c>
      <c r="B49" s="867">
        <f>'Premiums YTD-8'!B23</f>
        <v>0</v>
      </c>
      <c r="C49" s="867">
        <f>'Premiums YTD-8'!C23</f>
        <v>10749487</v>
      </c>
      <c r="D49" s="867">
        <f>'Premiums YTD-8'!D23</f>
        <v>0</v>
      </c>
      <c r="E49" s="867">
        <f>'Premiums YTD-8'!E23</f>
        <v>0</v>
      </c>
      <c r="F49" s="867">
        <f>'Premiums YTD-8'!F23</f>
        <v>0</v>
      </c>
      <c r="G49" s="867">
        <f aca="true" t="shared" si="5" ref="G49:G54">SUM(B49:F49)</f>
        <v>10749487</v>
      </c>
    </row>
    <row r="50" spans="1:7" s="797" customFormat="1" ht="15" customHeight="1">
      <c r="A50" s="869" t="s">
        <v>314</v>
      </c>
      <c r="B50" s="867">
        <f>'Losses Incurred YTD-10'!B32</f>
        <v>0</v>
      </c>
      <c r="C50" s="867">
        <f>'Losses Incurred YTD-10'!C32</f>
        <v>5008777</v>
      </c>
      <c r="D50" s="867">
        <f>'Losses Incurred YTD-10'!D32</f>
        <v>1978508.76</v>
      </c>
      <c r="E50" s="867">
        <f>'Losses Incurred YTD-10'!E32</f>
        <v>94531</v>
      </c>
      <c r="F50" s="867">
        <f>'Losses Incurred YTD-10'!F32</f>
        <v>158729</v>
      </c>
      <c r="G50" s="867">
        <f t="shared" si="5"/>
        <v>7240545.76</v>
      </c>
    </row>
    <row r="51" spans="1:7" s="797" customFormat="1" ht="15" customHeight="1">
      <c r="A51" s="869" t="s">
        <v>318</v>
      </c>
      <c r="B51" s="867">
        <f>'Loss Expenses YTD-12'!B24</f>
        <v>0</v>
      </c>
      <c r="C51" s="867">
        <f>'Loss Expenses YTD-12'!C24</f>
        <v>434423.23000000004</v>
      </c>
      <c r="D51" s="867">
        <f>'Loss Expenses YTD-12'!D24</f>
        <v>250677.06</v>
      </c>
      <c r="E51" s="867">
        <f>'Loss Expenses YTD-12'!E24</f>
        <v>11977.17</v>
      </c>
      <c r="F51" s="867">
        <f>'Loss Expenses YTD-12'!F24</f>
        <v>20110.96</v>
      </c>
      <c r="G51" s="867">
        <f t="shared" si="5"/>
        <v>717188.42</v>
      </c>
    </row>
    <row r="52" spans="1:7" s="797" customFormat="1" ht="15" customHeight="1">
      <c r="A52" s="869" t="s">
        <v>316</v>
      </c>
      <c r="B52" s="867">
        <v>0</v>
      </c>
      <c r="C52" s="867">
        <f>'Earned Incurred YTD-6'!B42</f>
        <v>293447.56</v>
      </c>
      <c r="D52" s="873">
        <v>0</v>
      </c>
      <c r="E52" s="873">
        <v>0</v>
      </c>
      <c r="F52" s="867">
        <v>0</v>
      </c>
      <c r="G52" s="867">
        <f t="shared" si="5"/>
        <v>293447.56</v>
      </c>
    </row>
    <row r="53" spans="1:7" s="797" customFormat="1" ht="15" customHeight="1">
      <c r="A53" s="869" t="s">
        <v>317</v>
      </c>
      <c r="B53" s="867">
        <v>0</v>
      </c>
      <c r="C53" s="867">
        <f>'Earned Incurred YTD-6'!B34</f>
        <v>61134.57</v>
      </c>
      <c r="D53" s="867">
        <v>0</v>
      </c>
      <c r="E53" s="873">
        <v>0</v>
      </c>
      <c r="F53" s="867">
        <v>0</v>
      </c>
      <c r="G53" s="867">
        <f t="shared" si="5"/>
        <v>61134.57</v>
      </c>
    </row>
    <row r="54" spans="1:7" s="797" customFormat="1" ht="15" customHeight="1" thickBot="1">
      <c r="A54" s="869" t="s">
        <v>296</v>
      </c>
      <c r="B54" s="871">
        <f>SUM(B49:B53)</f>
        <v>0</v>
      </c>
      <c r="C54" s="871">
        <f>SUM(C49:C53)+1</f>
        <v>16547270.360000001</v>
      </c>
      <c r="D54" s="871">
        <f>SUM(D49:D53)</f>
        <v>2229185.82</v>
      </c>
      <c r="E54" s="871">
        <f>SUM(E49:E53)</f>
        <v>106508.17</v>
      </c>
      <c r="F54" s="871">
        <f>SUM(F49:F53)</f>
        <v>178839.96</v>
      </c>
      <c r="G54" s="872">
        <f t="shared" si="5"/>
        <v>19061804.310000002</v>
      </c>
    </row>
    <row r="55" spans="1:7" s="797" customFormat="1" ht="15" customHeight="1" thickTop="1">
      <c r="A55" s="869"/>
      <c r="B55" s="873"/>
      <c r="C55" s="873"/>
      <c r="D55" s="873"/>
      <c r="E55" s="873"/>
      <c r="F55" s="873"/>
      <c r="G55" s="488"/>
    </row>
    <row r="56" spans="1:8" s="797" customFormat="1" ht="15" customHeight="1" thickBot="1">
      <c r="A56" s="877" t="s">
        <v>319</v>
      </c>
      <c r="B56" s="883">
        <f aca="true" t="shared" si="6" ref="B56:G56">B38-B46+B54</f>
        <v>-2606761.230000006</v>
      </c>
      <c r="C56" s="883">
        <f t="shared" si="6"/>
        <v>5832915.1899999995</v>
      </c>
      <c r="D56" s="883">
        <f>D38-D46+D54+1</f>
        <v>-139663.00000000047</v>
      </c>
      <c r="E56" s="883">
        <f t="shared" si="6"/>
        <v>-40872.750000000015</v>
      </c>
      <c r="F56" s="883">
        <f t="shared" si="6"/>
        <v>40517.630000000005</v>
      </c>
      <c r="G56" s="883">
        <f t="shared" si="6"/>
        <v>3086134.839999996</v>
      </c>
      <c r="H56" s="801"/>
    </row>
    <row r="57" spans="1:8" s="797" customFormat="1" ht="15" customHeight="1" thickTop="1">
      <c r="A57" s="800"/>
      <c r="B57" s="801"/>
      <c r="C57" s="801"/>
      <c r="D57" s="832"/>
      <c r="E57" s="832"/>
      <c r="F57" s="832"/>
      <c r="G57" s="796"/>
      <c r="H57" s="801"/>
    </row>
    <row r="58" spans="1:7" s="797" customFormat="1" ht="15" customHeight="1">
      <c r="A58" s="800"/>
      <c r="B58" s="801"/>
      <c r="C58" s="801"/>
      <c r="D58" s="832"/>
      <c r="E58" s="832"/>
      <c r="F58" s="832"/>
      <c r="G58" s="796"/>
    </row>
    <row r="59" spans="1:7" s="797" customFormat="1" ht="15" customHeight="1">
      <c r="A59" s="800"/>
      <c r="B59" s="801"/>
      <c r="C59" s="801"/>
      <c r="D59" s="832"/>
      <c r="E59" s="832"/>
      <c r="F59" s="832"/>
      <c r="G59" s="832"/>
    </row>
    <row r="60" spans="2:7" s="797" customFormat="1" ht="15" customHeight="1">
      <c r="B60" s="801"/>
      <c r="C60" s="801"/>
      <c r="D60" s="832"/>
      <c r="E60" s="832"/>
      <c r="F60" s="832"/>
      <c r="G60" s="832"/>
    </row>
    <row r="61" spans="2:7" s="797" customFormat="1" ht="15" customHeight="1">
      <c r="B61" s="801"/>
      <c r="C61" s="801"/>
      <c r="D61" s="832"/>
      <c r="E61" s="832"/>
      <c r="F61" s="832"/>
      <c r="G61" s="832"/>
    </row>
    <row r="62" spans="2:7" s="797" customFormat="1" ht="15" customHeight="1">
      <c r="B62" s="801"/>
      <c r="C62" s="801"/>
      <c r="D62" s="832"/>
      <c r="E62" s="832"/>
      <c r="F62" s="832"/>
      <c r="G62" s="832"/>
    </row>
    <row r="63" spans="1:7" s="797" customFormat="1" ht="15" customHeight="1">
      <c r="A63" s="799"/>
      <c r="B63" s="833"/>
      <c r="C63" s="833"/>
      <c r="D63" s="832"/>
      <c r="E63" s="832"/>
      <c r="F63" s="832"/>
      <c r="G63" s="832"/>
    </row>
    <row r="64" spans="2:7" s="797" customFormat="1" ht="15" customHeight="1">
      <c r="B64" s="801"/>
      <c r="C64" s="801"/>
      <c r="D64" s="832"/>
      <c r="E64" s="832"/>
      <c r="F64" s="832"/>
      <c r="G64" s="796"/>
    </row>
    <row r="65" spans="2:7" s="797" customFormat="1" ht="15" customHeight="1">
      <c r="B65" s="801"/>
      <c r="C65" s="801"/>
      <c r="D65" s="832"/>
      <c r="E65" s="832"/>
      <c r="F65" s="832"/>
      <c r="G65" s="796"/>
    </row>
    <row r="66" spans="2:7" s="797" customFormat="1" ht="15" customHeight="1">
      <c r="B66" s="801"/>
      <c r="C66" s="801"/>
      <c r="D66" s="832"/>
      <c r="E66" s="832"/>
      <c r="F66" s="832"/>
      <c r="G66" s="796"/>
    </row>
    <row r="67" spans="2:7" s="797" customFormat="1" ht="15" customHeight="1">
      <c r="B67" s="801"/>
      <c r="C67" s="801"/>
      <c r="D67" s="832"/>
      <c r="E67" s="832"/>
      <c r="F67" s="832"/>
      <c r="G67" s="796"/>
    </row>
    <row r="68" spans="2:7" s="797" customFormat="1" ht="15" customHeight="1">
      <c r="B68" s="801"/>
      <c r="C68" s="801"/>
      <c r="D68" s="832"/>
      <c r="E68" s="832"/>
      <c r="F68" s="832"/>
      <c r="G68" s="796"/>
    </row>
    <row r="69" spans="2:7" s="797" customFormat="1" ht="15" customHeight="1">
      <c r="B69" s="801"/>
      <c r="C69" s="801"/>
      <c r="D69" s="832"/>
      <c r="E69" s="832"/>
      <c r="F69" s="832"/>
      <c r="G69" s="796"/>
    </row>
    <row r="70" spans="2:7" s="797" customFormat="1" ht="15" customHeight="1">
      <c r="B70" s="801"/>
      <c r="C70" s="801"/>
      <c r="D70" s="832"/>
      <c r="E70" s="832"/>
      <c r="F70" s="832"/>
      <c r="G70" s="796"/>
    </row>
    <row r="71" spans="2:7" s="797" customFormat="1" ht="15" customHeight="1">
      <c r="B71" s="801"/>
      <c r="C71" s="801"/>
      <c r="D71" s="832"/>
      <c r="E71" s="832"/>
      <c r="F71" s="832"/>
      <c r="G71" s="796"/>
    </row>
    <row r="72" spans="2:7" s="797" customFormat="1" ht="15" customHeight="1">
      <c r="B72" s="801"/>
      <c r="C72" s="801"/>
      <c r="D72" s="832"/>
      <c r="E72" s="832"/>
      <c r="F72" s="832"/>
      <c r="G72" s="796"/>
    </row>
    <row r="73" spans="2:7" s="797" customFormat="1" ht="15" customHeight="1">
      <c r="B73" s="801"/>
      <c r="C73" s="801"/>
      <c r="D73" s="832"/>
      <c r="E73" s="832"/>
      <c r="F73" s="832"/>
      <c r="G73" s="796"/>
    </row>
    <row r="74" spans="2:7" s="797" customFormat="1" ht="15" customHeight="1">
      <c r="B74" s="801"/>
      <c r="C74" s="801"/>
      <c r="D74" s="832"/>
      <c r="E74" s="832"/>
      <c r="F74" s="832"/>
      <c r="G74" s="796"/>
    </row>
    <row r="75" spans="2:7" s="797" customFormat="1" ht="15" customHeight="1">
      <c r="B75" s="801"/>
      <c r="C75" s="801"/>
      <c r="D75" s="832"/>
      <c r="E75" s="832"/>
      <c r="F75" s="832"/>
      <c r="G75" s="796"/>
    </row>
    <row r="76" spans="2:7" s="797" customFormat="1" ht="15" customHeight="1">
      <c r="B76" s="801"/>
      <c r="C76" s="801"/>
      <c r="D76" s="832"/>
      <c r="E76" s="832"/>
      <c r="F76" s="832"/>
      <c r="G76" s="796"/>
    </row>
    <row r="77" spans="2:7" s="797" customFormat="1" ht="15" customHeight="1">
      <c r="B77" s="801"/>
      <c r="C77" s="801"/>
      <c r="D77" s="832"/>
      <c r="E77" s="832"/>
      <c r="F77" s="832"/>
      <c r="G77" s="796"/>
    </row>
    <row r="78" spans="2:7" s="797" customFormat="1" ht="15" customHeight="1">
      <c r="B78" s="801"/>
      <c r="C78" s="801"/>
      <c r="D78" s="832"/>
      <c r="E78" s="832"/>
      <c r="F78" s="832"/>
      <c r="G78" s="796"/>
    </row>
    <row r="79" spans="2:7" s="797" customFormat="1" ht="15" customHeight="1">
      <c r="B79" s="801"/>
      <c r="C79" s="801"/>
      <c r="D79" s="832"/>
      <c r="E79" s="832"/>
      <c r="F79" s="832"/>
      <c r="G79" s="796"/>
    </row>
    <row r="80" spans="2:7" s="797" customFormat="1" ht="15" customHeight="1">
      <c r="B80" s="801"/>
      <c r="C80" s="801"/>
      <c r="D80" s="832"/>
      <c r="E80" s="832"/>
      <c r="F80" s="832"/>
      <c r="G80" s="796"/>
    </row>
    <row r="81" spans="2:7" s="797" customFormat="1" ht="15" customHeight="1">
      <c r="B81" s="801"/>
      <c r="C81" s="801"/>
      <c r="D81" s="832"/>
      <c r="E81" s="832"/>
      <c r="F81" s="832"/>
      <c r="G81" s="796"/>
    </row>
    <row r="82" spans="2:7" s="797" customFormat="1" ht="15" customHeight="1">
      <c r="B82" s="801"/>
      <c r="C82" s="801"/>
      <c r="D82" s="832"/>
      <c r="E82" s="832"/>
      <c r="F82" s="832"/>
      <c r="G82" s="796"/>
    </row>
    <row r="83" spans="2:7" s="797" customFormat="1" ht="15" customHeight="1">
      <c r="B83" s="801"/>
      <c r="C83" s="801"/>
      <c r="D83" s="832"/>
      <c r="E83" s="832"/>
      <c r="F83" s="832"/>
      <c r="G83" s="796"/>
    </row>
    <row r="84" spans="2:7" s="797" customFormat="1" ht="15" customHeight="1">
      <c r="B84" s="801"/>
      <c r="C84" s="801"/>
      <c r="D84" s="832"/>
      <c r="E84" s="832"/>
      <c r="F84" s="832"/>
      <c r="G84" s="796"/>
    </row>
    <row r="85" spans="2:7" s="797" customFormat="1" ht="15" customHeight="1">
      <c r="B85" s="801"/>
      <c r="C85" s="801"/>
      <c r="D85" s="832"/>
      <c r="E85" s="832"/>
      <c r="F85" s="832"/>
      <c r="G85" s="796"/>
    </row>
    <row r="86" spans="2:7" s="797" customFormat="1" ht="15" customHeight="1">
      <c r="B86" s="801"/>
      <c r="C86" s="801"/>
      <c r="D86" s="832"/>
      <c r="E86" s="832"/>
      <c r="F86" s="832"/>
      <c r="G86" s="796"/>
    </row>
    <row r="87" spans="2:7" s="797" customFormat="1" ht="15" customHeight="1">
      <c r="B87" s="801"/>
      <c r="C87" s="801"/>
      <c r="D87" s="832"/>
      <c r="E87" s="832"/>
      <c r="F87" s="832"/>
      <c r="G87" s="796"/>
    </row>
    <row r="88" spans="2:7" s="797" customFormat="1" ht="15" customHeight="1">
      <c r="B88" s="801"/>
      <c r="C88" s="801"/>
      <c r="D88" s="832"/>
      <c r="E88" s="832"/>
      <c r="F88" s="832"/>
      <c r="G88" s="796"/>
    </row>
    <row r="89" spans="2:7" s="797" customFormat="1" ht="15" customHeight="1">
      <c r="B89" s="801"/>
      <c r="C89" s="801"/>
      <c r="D89" s="832"/>
      <c r="E89" s="832"/>
      <c r="F89" s="832"/>
      <c r="G89" s="796"/>
    </row>
    <row r="90" spans="2:7" s="797" customFormat="1" ht="15" customHeight="1">
      <c r="B90" s="801"/>
      <c r="C90" s="801"/>
      <c r="D90" s="832"/>
      <c r="E90" s="832"/>
      <c r="F90" s="832"/>
      <c r="G90" s="796"/>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G161"/>
  <sheetViews>
    <sheetView zoomScale="75" zoomScaleNormal="75" workbookViewId="0" topLeftCell="A29">
      <selection activeCell="C39" sqref="C39"/>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30" customHeight="1">
      <c r="A1" s="976" t="s">
        <v>258</v>
      </c>
      <c r="B1" s="977"/>
      <c r="C1" s="977"/>
      <c r="D1" s="978"/>
      <c r="E1" s="788"/>
    </row>
    <row r="2" spans="1:5" s="45" customFormat="1" ht="15" customHeight="1">
      <c r="A2" s="979"/>
      <c r="B2" s="980"/>
      <c r="C2" s="980"/>
      <c r="D2" s="981"/>
      <c r="E2" s="789"/>
    </row>
    <row r="3" spans="1:5" s="794" customFormat="1" ht="15" customHeight="1">
      <c r="A3" s="973" t="s">
        <v>221</v>
      </c>
      <c r="B3" s="974"/>
      <c r="C3" s="974"/>
      <c r="D3" s="975"/>
      <c r="E3" s="793"/>
    </row>
    <row r="4" spans="1:5" s="794" customFormat="1" ht="15" customHeight="1">
      <c r="A4" s="973" t="s">
        <v>320</v>
      </c>
      <c r="B4" s="974"/>
      <c r="C4" s="974"/>
      <c r="D4" s="975"/>
      <c r="E4" s="793"/>
    </row>
    <row r="5" spans="1:5" s="794" customFormat="1" ht="15" customHeight="1">
      <c r="A5" s="973" t="s">
        <v>484</v>
      </c>
      <c r="B5" s="974"/>
      <c r="C5" s="974"/>
      <c r="D5" s="975"/>
      <c r="E5" s="793"/>
    </row>
    <row r="6" spans="1:5" s="45" customFormat="1" ht="15" customHeight="1">
      <c r="A6" s="407"/>
      <c r="B6" s="337"/>
      <c r="C6" s="337"/>
      <c r="D6" s="511"/>
      <c r="E6" s="789"/>
    </row>
    <row r="7" spans="1:5" s="18" customFormat="1" ht="15" customHeight="1">
      <c r="A7" s="408"/>
      <c r="B7" s="337"/>
      <c r="C7" s="337"/>
      <c r="D7" s="511"/>
      <c r="E7" s="127"/>
    </row>
    <row r="8" spans="1:5" s="18" customFormat="1" ht="15" customHeight="1">
      <c r="A8" s="409" t="s">
        <v>321</v>
      </c>
      <c r="B8" s="512" t="s">
        <v>494</v>
      </c>
      <c r="C8" s="513"/>
      <c r="D8" s="514"/>
      <c r="E8" s="127"/>
    </row>
    <row r="9" spans="1:5" s="18" customFormat="1" ht="15" customHeight="1">
      <c r="A9" s="409"/>
      <c r="B9" s="515" t="s">
        <v>210</v>
      </c>
      <c r="C9" s="516"/>
      <c r="D9" s="517"/>
      <c r="E9" s="127"/>
    </row>
    <row r="10" spans="1:5" s="18" customFormat="1" ht="15" customHeight="1">
      <c r="A10" s="410"/>
      <c r="B10" s="518" t="s">
        <v>268</v>
      </c>
      <c r="C10" s="519"/>
      <c r="D10" s="520"/>
      <c r="E10" s="127"/>
    </row>
    <row r="11" spans="1:5" s="18" customFormat="1" ht="15" customHeight="1">
      <c r="A11" s="411" t="s">
        <v>322</v>
      </c>
      <c r="B11" s="521"/>
      <c r="C11" s="480">
        <f>'Premiums QTD-7'!G11</f>
        <v>5848928</v>
      </c>
      <c r="D11" s="522"/>
      <c r="E11" s="127"/>
    </row>
    <row r="12" spans="1:5" s="18" customFormat="1" ht="15" customHeight="1">
      <c r="A12" s="411"/>
      <c r="B12" s="521"/>
      <c r="C12" s="488"/>
      <c r="D12" s="522"/>
      <c r="E12" s="127"/>
    </row>
    <row r="13" spans="1:5" s="18" customFormat="1" ht="15" customHeight="1">
      <c r="A13" s="412" t="s">
        <v>323</v>
      </c>
      <c r="B13" s="521">
        <f>'Earned Incurred YTD-6'!B13</f>
        <v>11919572</v>
      </c>
      <c r="C13" s="122"/>
      <c r="D13" s="522"/>
      <c r="E13" s="127"/>
    </row>
    <row r="14" spans="1:5" s="18" customFormat="1" ht="15" customHeight="1">
      <c r="A14" s="412" t="s">
        <v>342</v>
      </c>
      <c r="B14" s="523">
        <f>'Premiums QTD-7'!G23</f>
        <v>12039591</v>
      </c>
      <c r="C14" s="122"/>
      <c r="D14" s="522"/>
      <c r="E14" s="127"/>
    </row>
    <row r="15" spans="1:5" s="18" customFormat="1" ht="15" customHeight="1">
      <c r="A15" s="412" t="s">
        <v>343</v>
      </c>
      <c r="B15" s="521"/>
      <c r="C15" s="524">
        <f>B14-B13</f>
        <v>120019</v>
      </c>
      <c r="D15" s="522"/>
      <c r="E15" s="127"/>
    </row>
    <row r="16" spans="1:5" s="18" customFormat="1" ht="15" customHeight="1">
      <c r="A16" s="411" t="s">
        <v>344</v>
      </c>
      <c r="B16" s="521"/>
      <c r="C16" s="122"/>
      <c r="D16" s="576">
        <f>C11+C15</f>
        <v>5968947</v>
      </c>
      <c r="E16" s="127"/>
    </row>
    <row r="17" spans="1:4" s="18" customFormat="1" ht="15" customHeight="1">
      <c r="A17" s="412" t="s">
        <v>345</v>
      </c>
      <c r="B17" s="521"/>
      <c r="C17" s="122">
        <f>'[13]Loss Expenses QTD-16'!$E$43+1</f>
        <v>2614045.7800000003</v>
      </c>
      <c r="D17" s="522"/>
    </row>
    <row r="18" spans="1:4" s="18" customFormat="1" ht="15" customHeight="1">
      <c r="A18" s="412" t="s">
        <v>76</v>
      </c>
      <c r="B18" s="521"/>
      <c r="C18" s="524">
        <f>-'[13]TB @ 1-25-05'!$D$308</f>
        <v>62191.020000000004</v>
      </c>
      <c r="D18" s="522"/>
    </row>
    <row r="19" spans="1:5" s="18" customFormat="1" ht="15" customHeight="1">
      <c r="A19" s="411" t="s">
        <v>347</v>
      </c>
      <c r="B19" s="521"/>
      <c r="C19" s="122">
        <f>C17-C18</f>
        <v>2551854.7600000002</v>
      </c>
      <c r="D19" s="522"/>
      <c r="E19" s="127"/>
    </row>
    <row r="20" spans="1:5" s="18" customFormat="1" ht="15" customHeight="1">
      <c r="A20" s="412" t="s">
        <v>348</v>
      </c>
      <c r="B20" s="521">
        <f>'Earned Incurred YTD-6'!B20</f>
        <v>6512476.680000001</v>
      </c>
      <c r="C20" s="122" t="s">
        <v>268</v>
      </c>
      <c r="D20" s="522"/>
      <c r="E20" s="127"/>
    </row>
    <row r="21" spans="1:5" s="18" customFormat="1" ht="15" customHeight="1">
      <c r="A21" s="412" t="s">
        <v>349</v>
      </c>
      <c r="B21" s="523">
        <f>'Losses Incurred QTD-9'!G32</f>
        <v>6386509.920000001</v>
      </c>
      <c r="C21" s="122"/>
      <c r="D21" s="522"/>
      <c r="E21" s="127"/>
    </row>
    <row r="22" spans="1:5" s="18" customFormat="1" ht="15" customHeight="1">
      <c r="A22" s="412" t="s">
        <v>350</v>
      </c>
      <c r="B22" s="526"/>
      <c r="C22" s="524">
        <f>B20-B21</f>
        <v>125966.75999999978</v>
      </c>
      <c r="D22" s="522"/>
      <c r="E22" s="127"/>
    </row>
    <row r="23" spans="1:6" s="18" customFormat="1" ht="15" customHeight="1">
      <c r="A23" s="411" t="s">
        <v>351</v>
      </c>
      <c r="B23" s="521"/>
      <c r="C23" s="122"/>
      <c r="D23" s="522">
        <f>C19+C22</f>
        <v>2677821.52</v>
      </c>
      <c r="E23" s="122"/>
      <c r="F23" s="114"/>
    </row>
    <row r="24" spans="1:5" s="18" customFormat="1" ht="15" customHeight="1">
      <c r="A24" s="412" t="s">
        <v>352</v>
      </c>
      <c r="B24" s="521"/>
      <c r="C24" s="122">
        <f>'[13]Loss Expenses QTD-16'!$C$43</f>
        <v>252292.47999999998</v>
      </c>
      <c r="D24" s="522"/>
      <c r="E24" s="334"/>
    </row>
    <row r="25" spans="1:5" s="18" customFormat="1" ht="15" customHeight="1">
      <c r="A25" s="412" t="s">
        <v>353</v>
      </c>
      <c r="B25" s="521"/>
      <c r="C25" s="524">
        <f>'[13]Loss Expenses QTD-16'!$I$43</f>
        <v>119856.22</v>
      </c>
      <c r="D25" s="522"/>
      <c r="E25" s="334"/>
    </row>
    <row r="26" spans="1:5" s="18" customFormat="1" ht="15" customHeight="1">
      <c r="A26" s="411" t="s">
        <v>354</v>
      </c>
      <c r="B26" s="521"/>
      <c r="C26" s="122">
        <f>C24+C25-1</f>
        <v>372147.69999999995</v>
      </c>
      <c r="D26" s="522"/>
      <c r="E26" s="122"/>
    </row>
    <row r="27" spans="1:5" s="18" customFormat="1" ht="15" customHeight="1">
      <c r="A27" s="412" t="s">
        <v>355</v>
      </c>
      <c r="B27" s="521">
        <f>'Earned Incurred YTD-6'!B27</f>
        <v>642578.9700000001</v>
      </c>
      <c r="C27" s="122"/>
      <c r="D27" s="522"/>
      <c r="E27" s="334"/>
    </row>
    <row r="28" spans="1:5" s="18" customFormat="1" ht="15" customHeight="1">
      <c r="A28" s="412" t="s">
        <v>356</v>
      </c>
      <c r="B28" s="523">
        <f>'Loss Expenses QTD-11'!G24</f>
        <v>680095.5100000001</v>
      </c>
      <c r="C28" s="122"/>
      <c r="D28" s="522"/>
      <c r="E28" s="122"/>
    </row>
    <row r="29" spans="1:7" s="18" customFormat="1" ht="15" customHeight="1">
      <c r="A29" s="412" t="s">
        <v>357</v>
      </c>
      <c r="B29" s="521"/>
      <c r="C29" s="524">
        <f>B27-B28</f>
        <v>-37516.54000000004</v>
      </c>
      <c r="D29" s="522"/>
      <c r="E29" s="334"/>
      <c r="G29" s="114"/>
    </row>
    <row r="30" spans="1:6" s="18" customFormat="1" ht="15" customHeight="1">
      <c r="A30" s="411" t="s">
        <v>358</v>
      </c>
      <c r="B30" s="521"/>
      <c r="C30" s="122"/>
      <c r="D30" s="525">
        <f>C26+C29</f>
        <v>334631.1599999999</v>
      </c>
      <c r="E30" s="122"/>
      <c r="F30" s="114"/>
    </row>
    <row r="31" spans="1:6" s="18" customFormat="1" ht="15" customHeight="1">
      <c r="A31" s="411" t="s">
        <v>359</v>
      </c>
      <c r="B31" s="521"/>
      <c r="C31" s="122"/>
      <c r="D31" s="787">
        <f>D23+D30</f>
        <v>3012452.6799999997</v>
      </c>
      <c r="E31" s="122"/>
      <c r="F31" s="114"/>
    </row>
    <row r="32" spans="1:6" s="18" customFormat="1" ht="15" customHeight="1">
      <c r="A32" s="412" t="s">
        <v>360</v>
      </c>
      <c r="B32" s="521"/>
      <c r="C32" s="122">
        <v>0</v>
      </c>
      <c r="D32" s="522"/>
      <c r="E32" s="334"/>
      <c r="F32" s="114"/>
    </row>
    <row r="33" spans="1:7" s="18" customFormat="1" ht="15" customHeight="1">
      <c r="A33" s="412" t="s">
        <v>361</v>
      </c>
      <c r="B33" s="521">
        <f>'Earned Incurred YTD-6'!B33</f>
        <v>61013.43</v>
      </c>
      <c r="C33" s="122"/>
      <c r="D33" s="522"/>
      <c r="E33" s="127"/>
      <c r="G33" s="114"/>
    </row>
    <row r="34" spans="1:7" s="18" customFormat="1" ht="15" customHeight="1">
      <c r="A34" s="412" t="s">
        <v>362</v>
      </c>
      <c r="B34" s="523">
        <v>41432.32</v>
      </c>
      <c r="C34" s="122" t="s">
        <v>268</v>
      </c>
      <c r="D34" s="522"/>
      <c r="E34" s="127"/>
      <c r="G34" s="114"/>
    </row>
    <row r="35" spans="1:5" s="18" customFormat="1" ht="15" customHeight="1">
      <c r="A35" s="412" t="s">
        <v>59</v>
      </c>
      <c r="B35" s="521"/>
      <c r="C35" s="524">
        <f>B33-B34</f>
        <v>19581.11</v>
      </c>
      <c r="D35" s="522"/>
      <c r="E35" s="127"/>
    </row>
    <row r="36" spans="1:6" s="18" customFormat="1" ht="15" customHeight="1">
      <c r="A36" s="411" t="s">
        <v>60</v>
      </c>
      <c r="B36" s="521"/>
      <c r="C36" s="122" t="s">
        <v>268</v>
      </c>
      <c r="D36" s="522">
        <f>C32+C35</f>
        <v>19581.11</v>
      </c>
      <c r="E36" s="127"/>
      <c r="F36" s="114"/>
    </row>
    <row r="37" spans="1:5" s="18" customFormat="1" ht="15" customHeight="1">
      <c r="A37" s="412" t="s">
        <v>465</v>
      </c>
      <c r="B37" s="521"/>
      <c r="C37" s="122">
        <f>'[13]TB @ 1-25-05'!$D$525</f>
        <v>509394.39999999997</v>
      </c>
      <c r="D37" s="638"/>
      <c r="E37" s="127"/>
    </row>
    <row r="38" spans="1:5" s="18" customFormat="1" ht="15" customHeight="1">
      <c r="A38" s="412" t="s">
        <v>444</v>
      </c>
      <c r="B38" s="521"/>
      <c r="C38" s="122">
        <f>'[13]TB @ 1-25-05'!D535</f>
        <v>81959.41</v>
      </c>
      <c r="D38" s="522"/>
      <c r="E38" s="790"/>
    </row>
    <row r="39" spans="1:6" s="18" customFormat="1" ht="15" customHeight="1">
      <c r="A39" s="412" t="s">
        <v>150</v>
      </c>
      <c r="B39" s="521"/>
      <c r="C39" s="524">
        <f>'[13]TB @ 1-25-05'!D830-C43</f>
        <v>952372.8700000001</v>
      </c>
      <c r="D39" s="522"/>
      <c r="E39" s="790"/>
      <c r="F39" s="127"/>
    </row>
    <row r="40" spans="1:6" s="18" customFormat="1" ht="15" customHeight="1">
      <c r="A40" s="411" t="s">
        <v>151</v>
      </c>
      <c r="B40" s="521"/>
      <c r="C40" s="122">
        <f>SUM(C37:C39)-1</f>
        <v>1543725.6800000002</v>
      </c>
      <c r="D40" s="522"/>
      <c r="E40" s="790"/>
      <c r="F40" s="127"/>
    </row>
    <row r="41" spans="1:5" s="18" customFormat="1" ht="15" customHeight="1">
      <c r="A41" s="412" t="s">
        <v>361</v>
      </c>
      <c r="B41" s="521">
        <f>'Earned Incurred YTD-6'!B41</f>
        <v>251967.98000000004</v>
      </c>
      <c r="C41" s="122"/>
      <c r="D41" s="522"/>
      <c r="E41" s="127"/>
    </row>
    <row r="42" spans="1:5" s="18" customFormat="1" ht="15" customHeight="1">
      <c r="A42" s="412" t="s">
        <v>362</v>
      </c>
      <c r="B42" s="523">
        <v>321210.28</v>
      </c>
      <c r="C42" s="122" t="s">
        <v>268</v>
      </c>
      <c r="D42" s="522"/>
      <c r="E42" s="127"/>
    </row>
    <row r="43" spans="1:5" s="18" customFormat="1" ht="15" customHeight="1">
      <c r="A43" s="412" t="s">
        <v>152</v>
      </c>
      <c r="B43" s="521"/>
      <c r="C43" s="524">
        <f>+B41-B42</f>
        <v>-69242.29999999999</v>
      </c>
      <c r="D43" s="522"/>
      <c r="E43" s="127"/>
    </row>
    <row r="44" spans="1:6" s="18" customFormat="1" ht="15" customHeight="1">
      <c r="A44" s="411" t="s">
        <v>222</v>
      </c>
      <c r="B44" s="521"/>
      <c r="C44" s="122"/>
      <c r="D44" s="525">
        <f>SUM(C40:C43)+1</f>
        <v>1474484.3800000001</v>
      </c>
      <c r="E44" s="127"/>
      <c r="F44" s="127"/>
    </row>
    <row r="45" spans="1:6" s="18" customFormat="1" ht="15" customHeight="1">
      <c r="A45" s="411" t="s">
        <v>153</v>
      </c>
      <c r="B45" s="521"/>
      <c r="C45" s="122"/>
      <c r="D45" s="527">
        <f>SUM(D36:D44)</f>
        <v>1494065.4900000002</v>
      </c>
      <c r="E45" s="127"/>
      <c r="F45" s="120"/>
    </row>
    <row r="46" spans="1:6" s="18" customFormat="1" ht="15" customHeight="1">
      <c r="A46" s="411" t="s">
        <v>154</v>
      </c>
      <c r="B46" s="521"/>
      <c r="C46" s="122"/>
      <c r="D46" s="939">
        <f>+D31+D45</f>
        <v>4506518.17</v>
      </c>
      <c r="E46" s="127"/>
      <c r="F46" s="120"/>
    </row>
    <row r="47" spans="1:6" s="18" customFormat="1" ht="15" customHeight="1">
      <c r="A47" s="411" t="s">
        <v>471</v>
      </c>
      <c r="B47" s="521"/>
      <c r="C47" s="122"/>
      <c r="D47" s="787">
        <f>D16-D31-D45</f>
        <v>1462428.83</v>
      </c>
      <c r="E47" s="48"/>
      <c r="F47" s="127"/>
    </row>
    <row r="48" spans="1:6" s="18" customFormat="1" ht="15" customHeight="1">
      <c r="A48" s="412" t="s">
        <v>203</v>
      </c>
      <c r="B48" s="521"/>
      <c r="C48" s="122">
        <f>-'[13]TB @ 1-25-05'!D273-C51</f>
        <v>57377.160000000025</v>
      </c>
      <c r="D48" s="530"/>
      <c r="E48" s="114"/>
      <c r="F48" s="114"/>
    </row>
    <row r="49" spans="1:5" s="18" customFormat="1" ht="15" customHeight="1">
      <c r="A49" s="412" t="s">
        <v>378</v>
      </c>
      <c r="B49" s="521">
        <f>'Earned Incurred YTD-6'!B49</f>
        <v>45849.92</v>
      </c>
      <c r="C49" s="122"/>
      <c r="D49" s="530"/>
      <c r="E49" s="127"/>
    </row>
    <row r="50" spans="1:5" s="18" customFormat="1" ht="15" customHeight="1">
      <c r="A50" s="412" t="s">
        <v>379</v>
      </c>
      <c r="B50" s="523">
        <v>38063.41</v>
      </c>
      <c r="C50" s="122" t="s">
        <v>268</v>
      </c>
      <c r="D50" s="530"/>
      <c r="E50" s="127"/>
    </row>
    <row r="51" spans="1:5" s="18" customFormat="1" ht="15" customHeight="1">
      <c r="A51" s="412" t="s">
        <v>380</v>
      </c>
      <c r="B51" s="521"/>
      <c r="C51" s="524">
        <f>B49-B50</f>
        <v>7786.509999999995</v>
      </c>
      <c r="D51" s="530"/>
      <c r="E51" s="127"/>
    </row>
    <row r="52" spans="1:5" s="18" customFormat="1" ht="15" customHeight="1">
      <c r="A52" s="411" t="s">
        <v>204</v>
      </c>
      <c r="B52" s="521"/>
      <c r="C52" s="122"/>
      <c r="D52" s="531">
        <f>C48+C51</f>
        <v>65163.67000000002</v>
      </c>
      <c r="E52" s="127"/>
    </row>
    <row r="53" spans="1:6" s="18" customFormat="1" ht="15" customHeight="1">
      <c r="A53" s="413"/>
      <c r="B53" s="521"/>
      <c r="C53" s="122"/>
      <c r="D53" s="492"/>
      <c r="E53" s="127"/>
      <c r="F53" s="114"/>
    </row>
    <row r="54" spans="1:6" s="18" customFormat="1" ht="15" customHeight="1">
      <c r="A54" s="414" t="s">
        <v>472</v>
      </c>
      <c r="B54" s="523"/>
      <c r="C54" s="524"/>
      <c r="D54" s="940">
        <f>D47+D52</f>
        <v>1527592.5</v>
      </c>
      <c r="E54" s="791"/>
      <c r="F54" s="340"/>
    </row>
    <row r="55" spans="1:4" s="18" customFormat="1" ht="15" customHeight="1">
      <c r="A55" s="415"/>
      <c r="B55" s="304"/>
      <c r="C55" s="304"/>
      <c r="D55" s="810"/>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Akleema Satar</cp:lastModifiedBy>
  <cp:lastPrinted>2005-02-11T15:30:55Z</cp:lastPrinted>
  <dcterms:created xsi:type="dcterms:W3CDTF">1999-07-28T13:02:54Z</dcterms:created>
  <dcterms:modified xsi:type="dcterms:W3CDTF">2005-02-11T15:31:05Z</dcterms:modified>
  <cp:category/>
  <cp:version/>
  <cp:contentType/>
  <cp:contentStatus/>
</cp:coreProperties>
</file>